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hidePivotFieldList="1" defaultThemeVersion="124226"/>
  <mc:AlternateContent xmlns:mc="http://schemas.openxmlformats.org/markup-compatibility/2006">
    <mc:Choice Requires="x15">
      <x15ac:absPath xmlns:x15ac="http://schemas.microsoft.com/office/spreadsheetml/2010/11/ac" url="S:\Schools accountancy\Benchmarking\2021-22\"/>
    </mc:Choice>
  </mc:AlternateContent>
  <xr:revisionPtr revIDLastSave="0" documentId="13_ncr:1_{B394358C-2BB8-46FF-9E80-361662EAA582}" xr6:coauthVersionLast="47" xr6:coauthVersionMax="47" xr10:uidLastSave="{00000000-0000-0000-0000-000000000000}"/>
  <workbookProtection workbookAlgorithmName="SHA-512" workbookHashValue="y6Cx3pd1SYSLypP/fIam1Ofdn2OqQPlHorJd1oueNZEcFw4xFuzUeFy/4c5uO8F1zp2TLdDbp32XoK57YDLb2w==" workbookSaltValue="ohcYfwmQwNxGQoXJ7ziDlA==" workbookSpinCount="100000" lockStructure="1"/>
  <bookViews>
    <workbookView xWindow="-120" yWindow="-120" windowWidth="20730" windowHeight="11160" tabRatio="842" xr2:uid="{00000000-000D-0000-FFFF-FFFF00000000}"/>
  </bookViews>
  <sheets>
    <sheet name="Benchmarking Ratio's Comparison" sheetId="14" r:id="rId1"/>
    <sheet name="All Schools Data view only" sheetId="3" r:id="rId2"/>
    <sheet name="CFR20212022_BenchMarkDataReport" sheetId="52" state="hidden" r:id="rId3"/>
    <sheet name="Pupil Nos BenchmarkData 21-22" sheetId="54" state="hidden" r:id="rId4"/>
    <sheet name="BARNET SCHS PUPIL PREMIUM Nos" sheetId="55" state="hidden" r:id="rId5"/>
    <sheet name="2014-15 CFR" sheetId="33"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s>
  <definedNames>
    <definedName name="_______AD1">#REF!</definedName>
    <definedName name="_______AD2">#REF!</definedName>
    <definedName name="______AD1">#REF!</definedName>
    <definedName name="______AD2">#REF!</definedName>
    <definedName name="_____AD1">#REF!</definedName>
    <definedName name="_____AD2">#REF!</definedName>
    <definedName name="_____KS1">#REF!</definedName>
    <definedName name="_____KS2">#REF!</definedName>
    <definedName name="_____KS3">#REF!</definedName>
    <definedName name="____AD1">#REF!</definedName>
    <definedName name="____AD2">#REF!</definedName>
    <definedName name="____KS1">#REF!</definedName>
    <definedName name="____KS2">#REF!</definedName>
    <definedName name="____KS3">#REF!</definedName>
    <definedName name="____lea95">#REF!</definedName>
    <definedName name="____lea96">#REF!</definedName>
    <definedName name="____lea97">#REF!</definedName>
    <definedName name="____lea98">#REF!</definedName>
    <definedName name="____lu9495">#REF!</definedName>
    <definedName name="____lu9596">#REF!</definedName>
    <definedName name="____lu9697">#REF!</definedName>
    <definedName name="____Num2">'[1]Running info'!#REF!</definedName>
    <definedName name="____pup1">#REF!</definedName>
    <definedName name="____pup2">#REF!</definedName>
    <definedName name="____RO1">#REF!</definedName>
    <definedName name="___AD1">#REF!</definedName>
    <definedName name="___AD2">#REF!</definedName>
    <definedName name="___KS1">#REF!</definedName>
    <definedName name="___KS2">#REF!</definedName>
    <definedName name="___KS3">#REF!</definedName>
    <definedName name="___lea95">#REF!</definedName>
    <definedName name="___lea96">#REF!</definedName>
    <definedName name="___lea97">#REF!</definedName>
    <definedName name="___lea98">#REF!</definedName>
    <definedName name="___lu9495">#REF!</definedName>
    <definedName name="___lu9596">#REF!</definedName>
    <definedName name="___lu9697">#REF!</definedName>
    <definedName name="___Num2">'[1]Running info'!#REF!</definedName>
    <definedName name="___pup1">#REF!</definedName>
    <definedName name="___pup2">#REF!</definedName>
    <definedName name="___RO1">#REF!</definedName>
    <definedName name="___v2" hidden="1">[2]weekly!#REF!</definedName>
    <definedName name="__123Graph_ADUMMY" hidden="1">[2]weekly!#REF!</definedName>
    <definedName name="__123Graph_AMAIN" hidden="1">[2]weekly!#REF!</definedName>
    <definedName name="__123Graph_AMONTHLY" hidden="1">[2]weekly!#REF!</definedName>
    <definedName name="__123Graph_AMONTHLY2" hidden="1">[2]weekly!#REF!</definedName>
    <definedName name="__123Graph_BDUMMY" hidden="1">[2]weekly!#REF!</definedName>
    <definedName name="__123Graph_BMAIN" hidden="1">[2]weekly!#REF!</definedName>
    <definedName name="__123Graph_BMONTHLY" hidden="1">[2]weekly!#REF!</definedName>
    <definedName name="__123Graph_BMONTHLY2" hidden="1">[2]weekly!#REF!</definedName>
    <definedName name="__123Graph_CDUMMY" hidden="1">[2]weekly!#REF!</definedName>
    <definedName name="__123Graph_CMONTHLY" hidden="1">[2]weekly!#REF!</definedName>
    <definedName name="__123Graph_CMONTHLY2" hidden="1">[2]weekly!#REF!</definedName>
    <definedName name="__123Graph_DMONTHLY2" hidden="1">[2]weekly!#REF!</definedName>
    <definedName name="__123Graph_EMONTHLY2" hidden="1">[2]weekly!#REF!</definedName>
    <definedName name="__123Graph_FMONTHLY2" hidden="1">[2]weekly!#REF!</definedName>
    <definedName name="__123Graph_XMAIN" hidden="1">[2]weekly!#REF!</definedName>
    <definedName name="__123Graph_XMONTHLY" hidden="1">[2]weekly!#REF!</definedName>
    <definedName name="__123Graph_XMONTHLY2" hidden="1">[2]weekly!#REF!</definedName>
    <definedName name="__AD1">#REF!</definedName>
    <definedName name="__AD2">#REF!</definedName>
    <definedName name="__KS1">#REF!</definedName>
    <definedName name="__KS2">#REF!</definedName>
    <definedName name="__KS3">#REF!</definedName>
    <definedName name="__lea95">#REF!</definedName>
    <definedName name="__lea96">#REF!</definedName>
    <definedName name="__lea97">#REF!</definedName>
    <definedName name="__lea98">#REF!</definedName>
    <definedName name="__lu9495">#REF!</definedName>
    <definedName name="__lu9596">#REF!</definedName>
    <definedName name="__lu9697">#REF!</definedName>
    <definedName name="__Num2">'[1]Running info'!#REF!</definedName>
    <definedName name="__pup1">#REF!</definedName>
    <definedName name="__pup2">#REF!</definedName>
    <definedName name="__RO1">#REF!</definedName>
    <definedName name="__v2" hidden="1">[2]weekly!#REF!</definedName>
    <definedName name="_AD1">#REF!</definedName>
    <definedName name="_AD2">#REF!</definedName>
    <definedName name="_xlnm._FilterDatabase" localSheetId="3" hidden="1">'Pupil Nos BenchmarkData 21-22'!$C$2:$E$94</definedName>
    <definedName name="_Key1" hidden="1">#REF!</definedName>
    <definedName name="_KS1">#REF!</definedName>
    <definedName name="_KS2">#REF!</definedName>
    <definedName name="_KS3">#REF!</definedName>
    <definedName name="_lea95">#REF!</definedName>
    <definedName name="_lea96">#REF!</definedName>
    <definedName name="_lea97">#REF!</definedName>
    <definedName name="_lea98">#REF!</definedName>
    <definedName name="_lu9495">#REF!</definedName>
    <definedName name="_lu9596">#REF!</definedName>
    <definedName name="_lu9697">#REF!</definedName>
    <definedName name="_Num2">'[1]Running info'!#REF!</definedName>
    <definedName name="_Order1" hidden="1">255</definedName>
    <definedName name="_Order2" hidden="1">0</definedName>
    <definedName name="_pup1">#REF!</definedName>
    <definedName name="_pup2">#REF!</definedName>
    <definedName name="_RO1">#REF!</definedName>
    <definedName name="_Sort" hidden="1">#REF!</definedName>
    <definedName name="_v2" hidden="1">[2]weekly!#REF!</definedName>
    <definedName name="ab">#REF!</definedName>
    <definedName name="ACA">[3]tables!$J$2:$K$152</definedName>
    <definedName name="ACA_Option">#REF!</definedName>
    <definedName name="ACA_Option_1">#REF!</definedName>
    <definedName name="ACA_table">#REF!</definedName>
    <definedName name="Academy">[4]Choose!$D$16</definedName>
    <definedName name="Access_Button" hidden="1">"BeneOUTb_database_List"</definedName>
    <definedName name="AccessDatabase" hidden="1">"N:\USERS\BENCHMARKING\Benefits Admin\BeneOUTb.mdb"</definedName>
    <definedName name="AD">#REF!</definedName>
    <definedName name="ADJ3YO">'[5]3yo adjustment'!#REF!</definedName>
    <definedName name="Adjustments_To_1314_SBS">'[6]Local Factors'!$AA$5</definedName>
    <definedName name="Adjustments_To_1415_SBS">#REF!</definedName>
    <definedName name="Adjustments_To_1516_SBS">'[7]Local Factors'!$AB$5</definedName>
    <definedName name="Adjustments_To_PY_SBS">'[8]Local Factors'!$AA$5</definedName>
    <definedName name="ADMIN">#REF!</definedName>
    <definedName name="admin.admin.costs">#REF!</definedName>
    <definedName name="admin.manual.costs">#REF!</definedName>
    <definedName name="admin.net.expend">#REF!</definedName>
    <definedName name="admin.nonpay.costs">#REF!</definedName>
    <definedName name="admin.otherstaff.costs">#REF!</definedName>
    <definedName name="admin.PRC">'[9]Other Forecasting'!#REF!</definedName>
    <definedName name="admin.teachers.pay">#REF!</definedName>
    <definedName name="adminpayinc.1">'[9]Inputs for SWGE Forecasting'!#REF!</definedName>
    <definedName name="adminprcprop">'[9]Other Forecasting'!#REF!</definedName>
    <definedName name="admintotalprc">#REF!</definedName>
    <definedName name="ADULT">#REF!</definedName>
    <definedName name="adult.average.sal">'[10]Inputs for SWGE Forecasting'!#REF!</definedName>
    <definedName name="adult.enhancement">'[10]Inputs for SWGE Forecasting'!#REF!</definedName>
    <definedName name="adult.entitlement">'[10]Inputs for SWGE Forecasting'!#REF!</definedName>
    <definedName name="adult.mortality">'[10]Inputs for SWGE Forecasting'!#REF!</definedName>
    <definedName name="adult.prc.costs">'[10]PRC Repricing Factor'!#REF!</definedName>
    <definedName name="adult.prc.nos">'[9]Inputs for SWGE Forecasting'!#REF!</definedName>
    <definedName name="adult.redundancy">'[10]Inputs for SWGE Forecasting'!#REF!</definedName>
    <definedName name="adult.total.retirees">'[10]Inputs for SWGE Forecasting'!#REF!</definedName>
    <definedName name="adults.prc.index">'[10]PRC Repricing Factor'!#REF!</definedName>
    <definedName name="ADV">'[11]Grant 1.2'!$I$3</definedName>
    <definedName name="ae">[12]TRANS!#REF!</definedName>
    <definedName name="AEN_UnitCost">#REF!</definedName>
    <definedName name="AENuprate">'[13]03-04 Unit costs'!$D$7</definedName>
    <definedName name="Age_weighted_funding">#REF!</definedName>
    <definedName name="ak">'All Schools Data view only'!$DD$2</definedName>
    <definedName name="all">#REF!</definedName>
    <definedName name="All_distance_threshold">[8]Proforma!$D$49</definedName>
    <definedName name="All_primary_school_pupils">#REF!</definedName>
    <definedName name="All_PupilNo_threshold">[8]Proforma!$G$49</definedName>
    <definedName name="all_rows">#REF!</definedName>
    <definedName name="all_schools">#REF!</definedName>
    <definedName name="All_secondary_school_pupils">#REF!</definedName>
    <definedName name="AllCol">#REF!</definedName>
    <definedName name="Alllines">#REF!</definedName>
    <definedName name="Allocations">#REF!</definedName>
    <definedName name="AllRow_1">#REF!</definedName>
    <definedName name="AllRow_2">#REF!</definedName>
    <definedName name="AllRow_3">#REF!</definedName>
    <definedName name="AllRow_4">#REF!</definedName>
    <definedName name="AllRow_5">#REF!</definedName>
    <definedName name="AllRow_6">#REF!</definedName>
    <definedName name="Alt_Gains_Cap">[8]Proforma!#REF!</definedName>
    <definedName name="amend.netexpend">#REF!</definedName>
    <definedName name="amended.net.expend">'[14]Split Under Fives from Primary'!#REF!</definedName>
    <definedName name="Anchor_DD">'[15]G) De Delegation'!#REF!</definedName>
    <definedName name="Anchor_Factors">[16]Factors!$A$3</definedName>
    <definedName name="Anchor_Input">#REF!</definedName>
    <definedName name="Anchor_NDShare">'[15]F) New Delegation Control'!#REF!</definedName>
    <definedName name="anchor_T1">#REF!</definedName>
    <definedName name="anchor_T4">#REF!</definedName>
    <definedName name="ASB">#REF!</definedName>
    <definedName name="ASD_Alt">[17]Classifications!$O$31</definedName>
    <definedName name="ass_ri">'[18]Adults Fwd Plan'!#REF!</definedName>
    <definedName name="Autumn_term_EFA_prop">[19]Policy_decisions!$I$6</definedName>
    <definedName name="Autumn_term_LA_prop">[19]Policy_decisions!$J$6</definedName>
    <definedName name="AWPU_KS3">[20]UnitValues!$E$9</definedName>
    <definedName name="AWPU_KS3_Rate">[8]Proforma!$E$15</definedName>
    <definedName name="AWPU_KS4">[20]UnitValues!$E$10</definedName>
    <definedName name="AWPU_KS4_Rate">[8]Proforma!$E$16</definedName>
    <definedName name="AWPU_Pri">[20]UnitValues!$E$8</definedName>
    <definedName name="AWPU_Pri_Rate">[8]Proforma!$E$14</definedName>
    <definedName name="AWPU_Primary_DD_rate">'[8]De Delegation'!$X$8</definedName>
    <definedName name="AWPU_Sec_DD_rate">'[8]De Delegation'!$Y$9</definedName>
    <definedName name="Base_Data">#REF!</definedName>
    <definedName name="Baseline_LocationFactor_1">[21]Control!$D$74</definedName>
    <definedName name="Baseline_PhaseWeight_1">[21]Control!$D$73</definedName>
    <definedName name="Baseline_Unit_1">[21]Control!$D$76</definedName>
    <definedName name="BeginCol_1">#REF!</definedName>
    <definedName name="BeginCol_2">#REF!</definedName>
    <definedName name="BeginCol_3">#REF!</definedName>
    <definedName name="BeginCol_4">#REF!</definedName>
    <definedName name="BESD_Alt">[17]Classifications!$O$26</definedName>
    <definedName name="BreakdownSurp00Pri">'[22]2000 Surplus Breakdown'!$A$8:$H$159</definedName>
    <definedName name="BreakdownSurp00Sec">'[22]2000 Surplus Breakdown'!$J$8:$Q$159</definedName>
    <definedName name="BS">[4]Choose!$E$16</definedName>
    <definedName name="Capping_Scaling_YesNo">[8]Proforma!$J$71</definedName>
    <definedName name="careers">'[9]Other Forecasting'!#REF!</definedName>
    <definedName name="careers.service">'[9]Inputs for SWGE Forecasting'!#REF!</definedName>
    <definedName name="cec_e">'[18]CE &amp; Strategy Fwd Plan'!#REF!</definedName>
    <definedName name="cec_ri">'[18]CE &amp; Strategy Fwd Plan'!#REF!</definedName>
    <definedName name="Ceiling">[8]Proforma!$D$72</definedName>
    <definedName name="Centralblock">[23]Central!$C$11:$AZ$27</definedName>
    <definedName name="cexp_e">'[18]CentExp Fwd Plan'!#REF!</definedName>
    <definedName name="cexp_ri">'[18]CentExp Fwd Plan'!#REF!</definedName>
    <definedName name="CG">#REF!</definedName>
    <definedName name="CG.admin.costs">#REF!</definedName>
    <definedName name="CG.gross.expend">#REF!</definedName>
    <definedName name="CG.income">#REF!</definedName>
    <definedName name="CG.manual.costs">#REF!</definedName>
    <definedName name="CG.net.expend">#REF!</definedName>
    <definedName name="CG.nonpay.costs">#REF!</definedName>
    <definedName name="CG.otherstaff.costs">#REF!</definedName>
    <definedName name="CG.PRC.proportion">'[9]Other Forecasting'!#REF!</definedName>
    <definedName name="CG.teaching.costs">#REF!</definedName>
    <definedName name="cgprctotal">#REF!</definedName>
    <definedName name="Chart_Change">#REF!</definedName>
    <definedName name="Chart_Ind">#REF!</definedName>
    <definedName name="checkdate">[24]Howto!$B$5</definedName>
    <definedName name="CHILD_GUIDANCE">#REF!</definedName>
    <definedName name="CilCnt_4">#REF!</definedName>
    <definedName name="claim">#REF!</definedName>
    <definedName name="claim2">#REF!</definedName>
    <definedName name="Claremont">[25]MFG!$N$6</definedName>
    <definedName name="Client_Table">'[26]Client Data'!$A$3:$E$900</definedName>
    <definedName name="ClubForText">[17]Submit!$F$89</definedName>
    <definedName name="Col_Ref_DD">'[15]G) De Delegation'!#REF!</definedName>
    <definedName name="Col_Ref_Factors">'[15]C) Factors'!#REF!</definedName>
    <definedName name="Col_Ref_Input">#REF!</definedName>
    <definedName name="Col_Ref_NDShare">'[15]F) New Delegation Control'!#REF!</definedName>
    <definedName name="Col_Ref_T1">#REF!</definedName>
    <definedName name="Col_Ref_T4">#REF!</definedName>
    <definedName name="ColCnt_3">#REF!</definedName>
    <definedName name="ColCnt_5">#REF!</definedName>
    <definedName name="ColCnt_6">#REF!</definedName>
    <definedName name="colls">#REF!</definedName>
    <definedName name="cols10">#REF!</definedName>
    <definedName name="cols11">#REF!</definedName>
    <definedName name="cols12">#REF!</definedName>
    <definedName name="cols13">#REF!</definedName>
    <definedName name="cols14">#REF!</definedName>
    <definedName name="cols14a">#REF!</definedName>
    <definedName name="cols16">#REF!</definedName>
    <definedName name="cols17">#REF!</definedName>
    <definedName name="cols3a">#REF!</definedName>
    <definedName name="cols3b">#REF!</definedName>
    <definedName name="cols3c">#REF!</definedName>
    <definedName name="cols3d">#REF!</definedName>
    <definedName name="cols5">#REF!</definedName>
    <definedName name="cols6">#REF!</definedName>
    <definedName name="cols6a">#REF!</definedName>
    <definedName name="cols7">#REF!</definedName>
    <definedName name="cols8">#REF!</definedName>
    <definedName name="cols9">#REF!</definedName>
    <definedName name="Complex">#REF!</definedName>
    <definedName name="Condition_A">[21]Control!#REF!</definedName>
    <definedName name="copyright">#REF!</definedName>
    <definedName name="COUNTRY">[27]information!$H$3</definedName>
    <definedName name="cs_ri">'[18]Children Fwd Plan'!#REF!</definedName>
    <definedName name="ctrl_1516_Pot_DFC">[21]Control!#REF!</definedName>
    <definedName name="ctrl_1617_pot_DFC">[21]Control!#REF!</definedName>
    <definedName name="ctrl_1718_pot_DFC">[21]Control!#REF!</definedName>
    <definedName name="d_ass">#REF!</definedName>
    <definedName name="d_cec">#REF!</definedName>
    <definedName name="d_cexp">#REF!</definedName>
    <definedName name="d_cs">#REF!</definedName>
    <definedName name="d_et">#REF!</definedName>
    <definedName name="d_gov">#REF!</definedName>
    <definedName name="d_hra">#REF!</definedName>
    <definedName name="d_hsg">#REF!</definedName>
    <definedName name="d_pep">#REF!</definedName>
    <definedName name="d_r">#REF!</definedName>
    <definedName name="d_sd">#REF!</definedName>
    <definedName name="d_speg">#REF!</definedName>
    <definedName name="Data">#REF!</definedName>
    <definedName name="DATA1">#REF!</definedName>
    <definedName name="DATA10">[28]CCs!#REF!</definedName>
    <definedName name="DATA11">[28]CCs!#REF!</definedName>
    <definedName name="DATA12">[28]CCs!#REF!</definedName>
    <definedName name="DATA13">#REF!</definedName>
    <definedName name="DATA14">#REF!</definedName>
    <definedName name="DATA2">#REF!</definedName>
    <definedName name="DATA3">#REF!</definedName>
    <definedName name="DATA4">#REF!</definedName>
    <definedName name="DATA5">#REF!</definedName>
    <definedName name="DATA6">'[29]SAP Download'!#REF!</definedName>
    <definedName name="DATA7">[28]CCs!#REF!</definedName>
    <definedName name="DATA8">[28]CCs!#REF!</definedName>
    <definedName name="DATA9">[28]CCs!#REF!</definedName>
    <definedName name="_xlnm.Database">#REF!</definedName>
    <definedName name="DataDD">'[15]G) De Delegation'!#REF!</definedName>
    <definedName name="DataInput">#REF!</definedName>
    <definedName name="DataNDShare">'[15]F) New Delegation Control'!#REF!</definedName>
    <definedName name="datarows">#REF!</definedName>
    <definedName name="Dated">[4]Choose!$C$14</definedName>
    <definedName name="DCSF">#REF!</definedName>
    <definedName name="DCSF1">#REF!</definedName>
    <definedName name="DCSF2">[30]Report!$L$8</definedName>
    <definedName name="DD_MF">[17]Submit!$D$72:$D$74</definedName>
    <definedName name="DD_Need">[17]Submit!$D$56:$D$69</definedName>
    <definedName name="DD_NIghts">[17]Submit!$D$39:$D$47</definedName>
    <definedName name="DD_Weeks">[17]Submit!$D$50:$D$53</definedName>
    <definedName name="December">[12]TRANS!#REF!</definedName>
    <definedName name="Depr_Infl_option">#REF!</definedName>
    <definedName name="Depr_Infl_option_1">#REF!</definedName>
    <definedName name="Deprivation_Option">#REF!</definedName>
    <definedName name="Deprivation_Option_1">#REF!</definedName>
    <definedName name="Deprivation_Pot">#REF!</definedName>
    <definedName name="Deprivation_Pot_1">#REF!</definedName>
    <definedName name="DFC_LocationFactor_1">[21]Control!$D$64</definedName>
    <definedName name="DFC_LS_1">[21]Control!$D$62</definedName>
    <definedName name="DFC_PhaseWeight_1">[21]Control!$D$63</definedName>
    <definedName name="DFC_Q_1">[21]Control!$D$46</definedName>
    <definedName name="DFC_Unit_1">[21]Control!$D$67</definedName>
    <definedName name="DFENO">[12]Home!$T$21</definedName>
    <definedName name="DFENUM">[4]Choose!$L$18</definedName>
    <definedName name="DISC_AWARDS">#REF!</definedName>
    <definedName name="EAL_Pri">[8]Proforma!$E$28</definedName>
    <definedName name="EAL_Pri_DD_rate">'[8]De Delegation'!$X$21</definedName>
    <definedName name="EAL_Pri_Option">[8]Proforma!$D$28</definedName>
    <definedName name="EAL_Pri_Scaled">[20]UnitValues!$E$26</definedName>
    <definedName name="EAL_Sec">[8]Proforma!$F$29</definedName>
    <definedName name="EAL_Sec_DD_rate">'[8]De Delegation'!$Y$22</definedName>
    <definedName name="EAL_Sec_Option">[8]Proforma!$D$29</definedName>
    <definedName name="EAL_Sec_Scaled">[20]UnitValues!$E$27</definedName>
    <definedName name="EAL_Seci_Scaled">[31]UnitValues!$E$26</definedName>
    <definedName name="EAnglia">'[32]Qtab output'!$B$20,'[32]Qtab output'!$B$79,'[32]Qtab output'!$B$105</definedName>
    <definedName name="Earlyyearsblock">[23]EarlyYears!$C$12:$AZ$15</definedName>
    <definedName name="Emidlands">'[32]Qtab output'!$B$31,'[32]Qtab output'!$B$70,'[32]Qtab output'!$B$72,'[32]Qtab output'!$B$82,'[32]Qtab output'!$B$84</definedName>
    <definedName name="end">[12]TRANS!#REF!</definedName>
    <definedName name="endaug">[24]Summary!$A$6</definedName>
    <definedName name="EndCol_1">#REF!</definedName>
    <definedName name="EndCol_2">#REF!</definedName>
    <definedName name="EndCol_3">#REF!</definedName>
    <definedName name="enddate">[24]Howto!$B$6</definedName>
    <definedName name="enddec">[24]Summary!$A$7</definedName>
    <definedName name="enddfes">#REF!</definedName>
    <definedName name="eoy">[24]Summary!$A$5</definedName>
    <definedName name="EOYtext">[4]Choose!$F$14</definedName>
    <definedName name="EQU">'[11]Grant 1.2'!$I$2</definedName>
    <definedName name="ESG_General_Funding_Rate_for_mainstream_schools">#REF!</definedName>
    <definedName name="ESG_General_Funding_Rate_for_PRUs">#REF!</definedName>
    <definedName name="ESG_General_Funding_Rate_for_special_schools">#REF!</definedName>
    <definedName name="ESG_Retained_Duties_Funding_Rate">#REF!</definedName>
    <definedName name="ESGrate">#REF!</definedName>
    <definedName name="et_ri">'[18]E&amp;O Fwd Plan'!#REF!</definedName>
    <definedName name="Ever6_Pri_DD_Rate">'[8]De Delegation'!$X$11</definedName>
    <definedName name="Ever6_pri_rate">[8]Proforma!$E$19</definedName>
    <definedName name="Ever6_Sec_DD_Rate">'[8]De Delegation'!$Y$11</definedName>
    <definedName name="Ever6_sec_rate">[8]Proforma!$F$19</definedName>
    <definedName name="Exc_Cir1_Total">#REF!</definedName>
    <definedName name="Exc_Cir2_Total">#REF!</definedName>
    <definedName name="Exc_Cir3_Total">#REF!</definedName>
    <definedName name="Exc_Cir4_Total">#REF!</definedName>
    <definedName name="Exc_Cir5_Total">#REF!</definedName>
    <definedName name="Exc_Cir6_Total">#REF!</definedName>
    <definedName name="Exc_Cir7_Total">#REF!</definedName>
    <definedName name="EY">[12]EarlyYears!$T$23</definedName>
    <definedName name="f">[33]information!$H$5</definedName>
    <definedName name="FACTORS">#REF!</definedName>
    <definedName name="FE.for.Adults.PRC">'[9]Inputs for SWGE Forecasting'!#REF!</definedName>
    <definedName name="FE.reprice.index">'[9]Calculation of Repricing Factor'!#REF!</definedName>
    <definedName name="FE_Salary_Repricing_Factor">'[10]Inputs for SWGE Forecasting'!#REF!</definedName>
    <definedName name="FED">[12]MFG!$F$23</definedName>
    <definedName name="fednum">[4]Choose!$C$16</definedName>
    <definedName name="fee.income">#REF!</definedName>
    <definedName name="FEFC_PERCENT">#REF!</definedName>
    <definedName name="feforadultsprctotal">#REF!</definedName>
    <definedName name="FEHE">#REF!</definedName>
    <definedName name="FILENAME">[27]information!$H$5</definedName>
    <definedName name="FirstOcc">'[1]Running info'!#REF!</definedName>
    <definedName name="Floor">#REF!</definedName>
    <definedName name="Floor_Option">#REF!</definedName>
    <definedName name="FLOOR_Y1_1">[21]Control!$D$79</definedName>
    <definedName name="Floor_Y2_1">[21]Control!$D$80</definedName>
    <definedName name="Floor_Y3_1">[21]Control!$D$81</definedName>
    <definedName name="Forname">#REF!</definedName>
    <definedName name="Fringe_Total">#REF!</definedName>
    <definedName name="FSM_Pri_DD_rate">'[8]De Delegation'!$X$10</definedName>
    <definedName name="FSM_Pri_Rate">[8]Proforma!$E$18</definedName>
    <definedName name="FSM_Pri_Scaled">[20]UnitValues!$E$11</definedName>
    <definedName name="FSM_Sec_DD_rate">'[8]De Delegation'!$Y$10</definedName>
    <definedName name="FSM_Sec_Rate">[8]Proforma!$F$18</definedName>
    <definedName name="FSM_Sec_Scaled">[20]UnitValues!$E$12</definedName>
    <definedName name="FSM_UnitCost">#REF!</definedName>
    <definedName name="FSM6_Pri_premium">[19]Policy_decisions!$C$4</definedName>
    <definedName name="FSM6_Sec_premium">[19]Policy_decisions!$C$5</definedName>
    <definedName name="FSMPO2">[34]Proforma!$D$15</definedName>
    <definedName name="Funding">[35]Home!#REF!</definedName>
    <definedName name="Funding_Floor">[36]Proforma!$H$72</definedName>
    <definedName name="Funding_Floor_Adjustment">'[36]New ISB'!$BJ$5</definedName>
    <definedName name="FY.prim.pups">'[14]Split Under Fives from Primary'!#REF!</definedName>
    <definedName name="General_1314_Pot_1">#REF!</definedName>
    <definedName name="GM_ALLOC">#REF!</definedName>
    <definedName name="gor">#REF!</definedName>
    <definedName name="gov_ri">'[18]Corp Governance Fwd Plan'!#REF!</definedName>
    <definedName name="GRAND_TOTAL">#REF!</definedName>
    <definedName name="grant1997_98">#REF!</definedName>
    <definedName name="GroupID_1">#REF!</definedName>
    <definedName name="GroupID_10">#REF!</definedName>
    <definedName name="GroupID_11">#REF!</definedName>
    <definedName name="GroupID_12">#REF!</definedName>
    <definedName name="GroupID_13">#REF!</definedName>
    <definedName name="GroupID_14">#REF!</definedName>
    <definedName name="GroupID_15">#REF!</definedName>
    <definedName name="GroupID_16">#REF!</definedName>
    <definedName name="GroupID_17">#REF!</definedName>
    <definedName name="GroupID_18">#REF!</definedName>
    <definedName name="GroupID_19">#REF!</definedName>
    <definedName name="GroupID_2">#REF!</definedName>
    <definedName name="GroupID_3">#REF!</definedName>
    <definedName name="GroupID_4">#REF!</definedName>
    <definedName name="GroupID_5">#REF!</definedName>
    <definedName name="GroupID_6">#REF!</definedName>
    <definedName name="GroupID_7">#REF!</definedName>
    <definedName name="GroupID_8">#REF!</definedName>
    <definedName name="GroupID_9">#REF!</definedName>
    <definedName name="H1Tot">#REF!</definedName>
    <definedName name="H2Tot">#REF!</definedName>
    <definedName name="HEADING">[37]Home!$D$9</definedName>
    <definedName name="HEFEIncome">#REF!</definedName>
    <definedName name="HI_Alt">[17]Classifications!$O$36</definedName>
    <definedName name="Highneedsblock">[23]HighNeeds!$C$12:$AZ$23</definedName>
    <definedName name="Holiday_List">'[38]Holidays &amp; Term Dates'!$B$3:$B$112</definedName>
    <definedName name="HOURS">#REF!</definedName>
    <definedName name="hra_ri">'[18]HRA FWD Plan'!#REF!</definedName>
    <definedName name="hsg_e">#REF!</definedName>
    <definedName name="hsg_fye">#REF!</definedName>
    <definedName name="hsg_p">#REF!</definedName>
    <definedName name="hsg_r">#REF!</definedName>
    <definedName name="hsg_ri">#REF!</definedName>
    <definedName name="IDACI_B1_Pri">[8]Proforma!$E$20</definedName>
    <definedName name="IDACI_B1_Pri_DD_rate">'[8]De Delegation'!$X$12</definedName>
    <definedName name="IDACI_B1_Sec">[8]Proforma!$F$20</definedName>
    <definedName name="IDACI_B1_Sec_DD_rate">'[8]De Delegation'!$Y$12</definedName>
    <definedName name="IDACI_B2_Pri">[8]Proforma!$E$21</definedName>
    <definedName name="IDACI_B2_Pri_DD_rate">'[8]De Delegation'!$X$13</definedName>
    <definedName name="IDACI_B2_Sec">[8]Proforma!$F$21</definedName>
    <definedName name="IDACI_B2_Sec_DD_rate">'[8]De Delegation'!$Y$13</definedName>
    <definedName name="IDACI_B3_Pri">[8]Proforma!$E$22</definedName>
    <definedName name="IDACI_B3_Pri_DD_rate">'[8]De Delegation'!$X$14</definedName>
    <definedName name="IDACI_B3_Sec">[8]Proforma!$F$22</definedName>
    <definedName name="IDACI_B3_Sec_DD_rate">'[8]De Delegation'!$Y$14</definedName>
    <definedName name="IDACI_B4_Pri">[8]Proforma!$E$23</definedName>
    <definedName name="IDACI_B4_Pri_DD_rate">'[8]De Delegation'!$X$15</definedName>
    <definedName name="IDACI_B4_Sec">[8]Proforma!$F$23</definedName>
    <definedName name="IDACI_B4_Sec_DD_rate">'[8]De Delegation'!$Y$15</definedName>
    <definedName name="IDACI_B5_Pri">[8]Proforma!$E$24</definedName>
    <definedName name="IDACI_B5_Pri_DD_rate">'[8]De Delegation'!$X$16</definedName>
    <definedName name="IDACI_B5_Sec">[8]Proforma!$F$24</definedName>
    <definedName name="IDACI_B5_Sec_DD_rate">'[8]De Delegation'!$Y$16</definedName>
    <definedName name="IDACI_B6_Pri">[8]Proforma!$E$25</definedName>
    <definedName name="IDACI_B6_Pri_DD_rate">'[8]De Delegation'!$X$17</definedName>
    <definedName name="IDACI_B6_Sec">[8]Proforma!$F$25</definedName>
    <definedName name="IDACI_B6_Sec_DD_rate">'[8]De Delegation'!$Y$17</definedName>
    <definedName name="IDACI1_Pri_Scaled">[20]UnitValues!$E$13</definedName>
    <definedName name="IDACI1_Sec_Scaled">[20]UnitValues!$E$14</definedName>
    <definedName name="IDACI2_Pri_Scaled">[20]UnitValues!$E$15</definedName>
    <definedName name="IDACI2_Sec_Scaled">[20]UnitValues!$E$16</definedName>
    <definedName name="IDACI3_Pri_Scaled">[20]UnitValues!$E$17</definedName>
    <definedName name="IDACI3_Sec_Scaled">[20]UnitValues!$E$18</definedName>
    <definedName name="IDACI4_Pri_Scaled">[20]UnitValues!$E$19</definedName>
    <definedName name="IDACI4_Sec_Scaled">[20]UnitValues!$E$20</definedName>
    <definedName name="IDACI5_Pri_Scaled">[20]UnitValues!$E$21</definedName>
    <definedName name="IDACI5_Sec_Scaled">[20]UnitValues!$E$22</definedName>
    <definedName name="IDACI6_Pri_Scaled">[20]UnitValues!$E$23</definedName>
    <definedName name="IDACI6_Sec_Scaled">[20]UnitValues!$E$24</definedName>
    <definedName name="ijds_pupil_data">#REF!</definedName>
    <definedName name="Incomeblock">[23]Income!$C$13:$AZ$21</definedName>
    <definedName name="INDEPENDENT_FEES">#REF!</definedName>
    <definedName name="Index_Bottom_1">[21]Control!$D$119</definedName>
    <definedName name="Index_LocationFactor_1">[21]Control!$D$112</definedName>
    <definedName name="Index_Max_1">[21]Control!$D$116</definedName>
    <definedName name="Index_Measure_1">[21]Control!$D$113</definedName>
    <definedName name="Index_Min_1">[21]Control!$D$117</definedName>
    <definedName name="Index_PhaseWeight_1">[21]Control!$D$111</definedName>
    <definedName name="Index_Range_1">[21]Control!#REF!</definedName>
    <definedName name="Index_Top_1">[21]Control!$D$118</definedName>
    <definedName name="Indicator">[39]CodeSet!$A$1:$A$2</definedName>
    <definedName name="Indicator2">[39]CodeSet!$A$4:$A$6</definedName>
    <definedName name="INDICATORS">#REF!</definedName>
    <definedName name="Infant">#REF!</definedName>
    <definedName name="Innlond">'[32]Qtab output'!$B$21,'[32]Qtab output'!$B$44,'[32]Qtab output'!$B$47:$B$48,'[32]Qtab output'!$B$61:$B$62,'[32]Qtab output'!$B$67,'[32]Qtab output'!$B$71,'[32]Qtab output'!$B$101,'[32]Qtab output'!$B$110,'[32]Qtab output'!$B$115,'[32]Qtab output'!$B$23:$B$24</definedName>
    <definedName name="inspect.admin.costs">'[10]Other Forecasting'!#REF!</definedName>
    <definedName name="inspect.gross.expend">'[10]Other Forecasting'!#REF!</definedName>
    <definedName name="inspect.income">'[10]Other Forecasting'!#REF!</definedName>
    <definedName name="inspect.manual.costs">'[10]Other Forecasting'!#REF!</definedName>
    <definedName name="inspect.nonpay.costs">'[10]Other Forecasting'!#REF!</definedName>
    <definedName name="inspect.otherstaff.costs">'[10]Other Forecasting'!#REF!</definedName>
    <definedName name="inspect.prc.costs">'[10]Other Forecasting'!#REF!</definedName>
    <definedName name="inspect.PRC.proportion">'[9]Other Forecasting'!#REF!</definedName>
    <definedName name="inspect.teachers.pay">'[10]Other Forecasting'!#REF!</definedName>
    <definedName name="INSPECTION">#REF!</definedName>
    <definedName name="inspection.final.total">'[10]Other Forecasting'!#REF!</definedName>
    <definedName name="inspectprcprop">'[9]Other Forecasting'!#REF!</definedName>
    <definedName name="inspectprctotal">'[10]Other Forecasting'!#REF!</definedName>
    <definedName name="iTotRow">#REF!</definedName>
    <definedName name="j">#REF!,#REF!,#REF!,#REF!,#REF!,#REF!,#REF!,#REF!,#REF!,#REF!,#REF!,#REF!,#REF!,#REF!,#REF!</definedName>
    <definedName name="Jan12_Pupils">#REF!</definedName>
    <definedName name="JournalEntries">[40]Adjust0506!#REF!</definedName>
    <definedName name="JournalEntries2">[40]Adjust0506!#REF!</definedName>
    <definedName name="July">[12]TRANS!#REF!</definedName>
    <definedName name="Jump_GA1">#REF!</definedName>
    <definedName name="Jump_GB">#REF!</definedName>
    <definedName name="jump_GB2">#REF!</definedName>
    <definedName name="Jump_GC">#REF!</definedName>
    <definedName name="Jump_Guidance">#REF!</definedName>
    <definedName name="jun">[12]TRANS!#REF!</definedName>
    <definedName name="June">[12]TRANS!#REF!</definedName>
    <definedName name="junesetpayinc.1">'[9]Inputs for SWGE Forecasting'!#REF!</definedName>
    <definedName name="Junior">#REF!</definedName>
    <definedName name="junko">#REF!</definedName>
    <definedName name="l">#REF!</definedName>
    <definedName name="LA_Block_1213_rates">#REF!</definedName>
    <definedName name="LA_Ever_6_FSM_Pupils">#REF!</definedName>
    <definedName name="LA_List">[41]LA_School_Names!$A$6:$A$156</definedName>
    <definedName name="LA_lookup">'[42]Lookup tab'!$A$2:$B$153</definedName>
    <definedName name="LA_num">'[42]Lookup tab'!$A$2:$A$153</definedName>
    <definedName name="LA_retention_Option">#REF!</definedName>
    <definedName name="LA_retention_Option_1">#REF!</definedName>
    <definedName name="LA_retention_pot">#REF!</definedName>
    <definedName name="LA_retention_pot_1">#REF!</definedName>
    <definedName name="LAC_premium">[19]Policy_decisions!$C$6</definedName>
    <definedName name="LAC_Pri_DD_rate">'[8]De Delegation'!$X$18</definedName>
    <definedName name="LAC_Rate">[8]Proforma!$E$27</definedName>
    <definedName name="LAC_Scaled">[20]UnitValues!$E$25</definedName>
    <definedName name="LAC_Sec_DD_rate">'[8]De Delegation'!$Y$18</definedName>
    <definedName name="LAchartSelector">[43]Chart_LAbudgetBreakdown!$B$2</definedName>
    <definedName name="LACode">[44]LALookup!$A$1</definedName>
    <definedName name="LALookup">[45]LALookup!$A$3:$D$154</definedName>
    <definedName name="LAnames_NotPartFringe">#REF!</definedName>
    <definedName name="LAnames_PartFringe">#REF!</definedName>
    <definedName name="LAST_Nursery">#REF!</definedName>
    <definedName name="LAST_Primary">#REF!</definedName>
    <definedName name="LAST_PriMiddle">#REF!</definedName>
    <definedName name="LAST_SecMiddle">#REF!</definedName>
    <definedName name="LAST_SECONDARY">#REF!</definedName>
    <definedName name="LAST_Special">#REF!</definedName>
    <definedName name="LastDataRow">#REF!</definedName>
    <definedName name="LastT1Used">'[1]Running info'!#REF!</definedName>
    <definedName name="LCHI_Pri">[8]Proforma!$F$32</definedName>
    <definedName name="LCHI_Pri_DD_rate">'[8]De Delegation'!$X$19</definedName>
    <definedName name="LCHI_Pri_Option">[46]Proforma!$D$30</definedName>
    <definedName name="LCHI_Sec">[8]Proforma!$F$33</definedName>
    <definedName name="LCHI_Sec_DD_rate">'[8]De Delegation'!$Y$20</definedName>
    <definedName name="lea">#REF!</definedName>
    <definedName name="LEA25perc_Primary">#REF!</definedName>
    <definedName name="LEA25SpecialMeasures_Primary">#REF!</definedName>
    <definedName name="LEA25SpecialMeasures_Secondary">#REF!</definedName>
    <definedName name="leagor">#REF!</definedName>
    <definedName name="lealookup">#REF!</definedName>
    <definedName name="LEAnopassport">#REF!</definedName>
    <definedName name="leanos">#REF!</definedName>
    <definedName name="LEAs">#REF!</definedName>
    <definedName name="lect.reprice.sum">'[9]Calculation of Repricing Factor'!#REF!</definedName>
    <definedName name="Lines">#REF!</definedName>
    <definedName name="LPA_Pri_Scaled">[20]UnitValues!$E$28</definedName>
    <definedName name="LPA_Sec_Scaled">[20]UnitValues!$E$29</definedName>
    <definedName name="lu">#REF!</definedName>
    <definedName name="Lump_Sum_Limit">#REF!</definedName>
    <definedName name="Lump_sum_Pri_DD_rate">'[8]De Delegation'!$X$24</definedName>
    <definedName name="Lump_sum_Sec_DD_rate">'[8]De Delegation'!$Y$24</definedName>
    <definedName name="Lump_Sum_total">#REF!</definedName>
    <definedName name="LumpSum">#REF!</definedName>
    <definedName name="LumpSum_Pri_Scaled">[20]UnitValues!$E$30</definedName>
    <definedName name="LumpSum_Sec_Scaled">[20]UnitValues!$E$31</definedName>
    <definedName name="LYear">[4]Choose!$D$14</definedName>
    <definedName name="LYPupils">[47]MFGreport!#REF!</definedName>
    <definedName name="manpayinc.1">'[9]Inputs for SWGE Forecasting'!#REF!</definedName>
    <definedName name="md_2">#REF!</definedName>
    <definedName name="MD_3">#REF!</definedName>
    <definedName name="MDProw">#REF!</definedName>
    <definedName name="MDrow">#REF!</definedName>
    <definedName name="mdsrow">#REF!</definedName>
    <definedName name="MEALS">#REF!</definedName>
    <definedName name="meals.admin.costs">#REF!</definedName>
    <definedName name="meals.income">#REF!</definedName>
    <definedName name="meals.kitchen.costs">#REF!</definedName>
    <definedName name="meals.PRC.proportion">'[9]Other Forecasting'!#REF!</definedName>
    <definedName name="meals.subtotal">#REF!</definedName>
    <definedName name="meals.variable.nonpay">#REF!</definedName>
    <definedName name="mealsprcprop">'[9]Other Forecasting'!#REF!</definedName>
    <definedName name="mealsprctotal">#REF!</definedName>
    <definedName name="Member">[12]BudgetShare!$G$29</definedName>
    <definedName name="MFG">#REF!</definedName>
    <definedName name="MFG_Rate">[8]Proforma!$H$69</definedName>
    <definedName name="MFG_Total">#REF!</definedName>
    <definedName name="Mid_distance_threshold">[8]Proforma!$D$48</definedName>
    <definedName name="Mid_PupilNo_threshold">[8]Proforma!$G$48</definedName>
    <definedName name="million">[48]DSGDec!$I$1</definedName>
    <definedName name="min_pupil_rate_KS3">[8]Proforma!$E$9</definedName>
    <definedName name="min_pupil_rate_KS4">[8]Proforma!$G$9</definedName>
    <definedName name="min_pupil_rate_pri">[8]Proforma!$D$9</definedName>
    <definedName name="min_pupil_rate_sec">[8]Proforma!$I$9</definedName>
    <definedName name="MLD_Alt">[17]Classifications!$O$20</definedName>
    <definedName name="Mobility_Pri">[8]Proforma!$E$30</definedName>
    <definedName name="Mobility_Pri_DD_Rate">'[8]De Delegation'!$X$23</definedName>
    <definedName name="Mobility_Sec">[8]Proforma!$F$30</definedName>
    <definedName name="Mobility_Sec_DD_Rate">'[8]De Delegation'!$Y$23</definedName>
    <definedName name="month">'[49]New Report'!$J$4</definedName>
    <definedName name="MP">#REF!</definedName>
    <definedName name="MP_Rows">#REF!</definedName>
    <definedName name="mppf_pri">#REF!</definedName>
    <definedName name="mppf_sec">#REF!</definedName>
    <definedName name="MS_Rows">#REF!</definedName>
    <definedName name="msg">#REF!</definedName>
    <definedName name="MSI_Alt">[17]Classifications!$O$37</definedName>
    <definedName name="names">#REF!</definedName>
    <definedName name="ND_Headers">#REF!</definedName>
    <definedName name="NDEP">[50]ISB!#REF!</definedName>
    <definedName name="neff">#REF!</definedName>
    <definedName name="new.second.PRC">'[9]Secondary Forecasting'!#REF!</definedName>
    <definedName name="New_and_growing_prop">[19]Policy_decisions!$F$11</definedName>
    <definedName name="NewCol_1">#REF!</definedName>
    <definedName name="newcol_10">#REF!</definedName>
    <definedName name="newcol_11">#REF!</definedName>
    <definedName name="newcol_12">#REF!</definedName>
    <definedName name="newcol_13">#REF!</definedName>
    <definedName name="newcol_14">#REF!</definedName>
    <definedName name="newcol_15">#REF!</definedName>
    <definedName name="newcol_16">#REF!</definedName>
    <definedName name="newcol_17">#REF!</definedName>
    <definedName name="newcol_2">#REF!</definedName>
    <definedName name="newcol_20">#REF!</definedName>
    <definedName name="newcol_3">#REF!</definedName>
    <definedName name="newcol_4">#REF!</definedName>
    <definedName name="newcol_5">#REF!</definedName>
    <definedName name="newcol_6">#REF!</definedName>
    <definedName name="newcol_7">#REF!</definedName>
    <definedName name="newcol_8">#REF!</definedName>
    <definedName name="newcol_9">#REF!</definedName>
    <definedName name="NEWN">[51]EarlyYears!$AA$19</definedName>
    <definedName name="News">[12]News!#REF!</definedName>
    <definedName name="NewSheet_Nursery">#REF!</definedName>
    <definedName name="NewSheet_Primary">#REF!</definedName>
    <definedName name="Newsheet_PriMiddle">#REF!</definedName>
    <definedName name="NewSheet_SecMiddle">#REF!</definedName>
    <definedName name="NewSheet_Secondary">#REF!</definedName>
    <definedName name="NewSheet_Special">#REF!</definedName>
    <definedName name="NewSheetNursery">#REF!</definedName>
    <definedName name="non_nurse">#REF!</definedName>
    <definedName name="non_prim">#REF!,#REF!</definedName>
    <definedName name="non_sec">#REF!,#REF!</definedName>
    <definedName name="non_spe">#REF!,#REF!</definedName>
    <definedName name="Nonable2_3">#REF!</definedName>
    <definedName name="nonpay.costs">#REF!</definedName>
    <definedName name="nonpay.reprice.sum">'[9]Calculation of Repricing Factor'!$B$349:$G$352</definedName>
    <definedName name="nontable2">#REF!</definedName>
    <definedName name="NonTable2_1">#REF!</definedName>
    <definedName name="NonTable2_2">#REF!</definedName>
    <definedName name="NonTable2_3">#REF!</definedName>
    <definedName name="NonTable2_4">#REF!</definedName>
    <definedName name="NonTable2Rows">#REF!</definedName>
    <definedName name="NOR_TYPE">#REF!</definedName>
    <definedName name="North">'[32]Qtab output'!$B$42,'[32]Qtab output'!$B$77,'[32]Qtab output'!$B$80,'[32]Qtab output'!$B$100,'[32]Qtab output'!$B$106,'[32]Qtab output'!$B$25,'[32]Qtab output'!$B$30,'[32]Qtab output'!$B$36,'[32]Qtab output'!$B$83</definedName>
    <definedName name="Northwest">'[32]Qtab output'!$B$66,'[32]Qtab output'!$B$102,'[32]Qtab output'!$B$94,'[32]Qtab output'!$B$121,'[32]Qtab output'!$B$13,'[32]Qtab output'!$B$18,'[32]Qtab output'!$B$73:$B$74,'[32]Qtab output'!$B$85,'[32]Qtab output'!$B$90,'[32]Qtab output'!$B$92,'[32]Qtab output'!$B$104</definedName>
    <definedName name="Notional_SEN_AWPU_KS3">[8]Proforma!$L$15</definedName>
    <definedName name="Notional_SEN_AWPU_KS4">[8]Proforma!$L$16</definedName>
    <definedName name="Notional_SEN_AWPU_Pri">[8]Proforma!$L$14</definedName>
    <definedName name="Notional_SEN_EAL_Pri">[8]Proforma!$L$28</definedName>
    <definedName name="Notional_SEN_EAL_Sec">[8]Proforma!$M$29</definedName>
    <definedName name="Notional_SEN_Ever6_Pri">[8]Proforma!$L$19</definedName>
    <definedName name="Notional_SEN_Ever6_Sec">[8]Proforma!$M$19</definedName>
    <definedName name="Notional_SEN_ExCir2">[8]Proforma!$L$57</definedName>
    <definedName name="Notional_SEN_ExCir3">[8]Proforma!$L$58</definedName>
    <definedName name="Notional_SEN_ExCir4">[8]Proforma!$L$59</definedName>
    <definedName name="Notional_SEN_ExCir5">[8]Proforma!$L$60</definedName>
    <definedName name="Notional_SEN_ExCir6">[8]Proforma!$L$61</definedName>
    <definedName name="Notional_SEN_ExCir7">[8]Proforma!$L$62</definedName>
    <definedName name="Notional_SEN_FF">[36]Proforma!$L$72</definedName>
    <definedName name="Notional_SEN_FSM_Pri">[8]Proforma!$L$18</definedName>
    <definedName name="Notional_SEN_FSM_Sec">[8]Proforma!$M$18</definedName>
    <definedName name="Notional_SEN_IDACI_B1_Pri">[8]Proforma!$L$20</definedName>
    <definedName name="Notional_SEN_IDACI_B1_Sec">[8]Proforma!$M$20</definedName>
    <definedName name="Notional_SEN_IDACI_B2_Pri">[8]Proforma!$L$21</definedName>
    <definedName name="Notional_SEN_IDACI_B2_Sec">[8]Proforma!$M$21</definedName>
    <definedName name="Notional_SEN_IDACI_B3_Pri">[8]Proforma!$L$22</definedName>
    <definedName name="Notional_SEN_IDACI_B3_Sec">[8]Proforma!$M$22</definedName>
    <definedName name="Notional_SEN_IDACI_B4_Pri">[8]Proforma!$L$23</definedName>
    <definedName name="Notional_SEN_IDACI_B4_Sec">[8]Proforma!$M$23</definedName>
    <definedName name="Notional_SEN_IDACI_B5_Pri">[8]Proforma!$L$24</definedName>
    <definedName name="Notional_SEN_IDACI_B5_Sec">[8]Proforma!$M$24</definedName>
    <definedName name="Notional_SEN_IDACI_B6_Pri">[8]Proforma!$L$25</definedName>
    <definedName name="Notional_SEN_IDACI_B6_Sec">[8]Proforma!$M$25</definedName>
    <definedName name="Notional_SEN_LAC">[8]Proforma!$L$27</definedName>
    <definedName name="Notional_SEN_LCHI_Pri">[8]Proforma!$L$32</definedName>
    <definedName name="Notional_SEN_LCHI_Sec">[8]Proforma!$M$33</definedName>
    <definedName name="Notional_SEN_Lump_sum_Pri">[8]Proforma!$L$43</definedName>
    <definedName name="Notional_SEN_Lump_sum_Sec">[8]Proforma!$M$43</definedName>
    <definedName name="Notional_SEN_MFG">[8]Proforma!$L$76</definedName>
    <definedName name="Notional_SEN_Mobility_Pri">[8]Proforma!$L$30</definedName>
    <definedName name="Notional_SEN_Mobility_Sec">[8]Proforma!$M$30</definedName>
    <definedName name="Notional_SEN_MPPF">[8]Proforma!$L$66</definedName>
    <definedName name="Notional_SEN_PFI">[8]Proforma!$L$53</definedName>
    <definedName name="Notional_SEN_Rates">[8]Proforma!$L$52</definedName>
    <definedName name="Notional_SEN_SixthForm">[46]Proforma!$L$48</definedName>
    <definedName name="Notional_SEN_Sparsity_Pri">[8]Proforma!$L$44</definedName>
    <definedName name="Notional_SEN_Sparsity_Sec">[8]Proforma!$M$44</definedName>
    <definedName name="Notional_SEN_Split_sites">[8]Proforma!$L$51</definedName>
    <definedName name="NQT_top_up">[52]Control!#REF!</definedName>
    <definedName name="nrecol_15">#REF!</definedName>
    <definedName name="Nrow">#REF!</definedName>
    <definedName name="NS_Rows">#REF!</definedName>
    <definedName name="NSEN">[50]ISB!#REF!</definedName>
    <definedName name="nurcol2">#REF!</definedName>
    <definedName name="NurCols">#REF!</definedName>
    <definedName name="nurs.classes.income">#REF!</definedName>
    <definedName name="nurs.classes.julypay">#REF!</definedName>
    <definedName name="nurs.classes.netexpend">#REF!</definedName>
    <definedName name="nurs.classes.novpay">#REF!</definedName>
    <definedName name="nurs.classes.othercosts">#REF!</definedName>
    <definedName name="nurs.classes.teaching">#REF!</definedName>
    <definedName name="nurs.pups.income">#REF!</definedName>
    <definedName name="nurs.pups.julypay">#REF!</definedName>
    <definedName name="nurs.pups.netexpend">#REF!</definedName>
    <definedName name="nurs.pups.novpay">#REF!</definedName>
    <definedName name="nurs.pups.othercosts">#REF!</definedName>
    <definedName name="nurs.pups.teaching">#REF!</definedName>
    <definedName name="nursclas.pups">'[9]Inputs for SWGE Forecasting'!$B$144:$H$144</definedName>
    <definedName name="nursclass.wts">'[9]Inputs for SWGE Forecasting'!$C$152:$C$157</definedName>
    <definedName name="nurse_rows">#REF!</definedName>
    <definedName name="nursery">#REF!,#REF!,#REF!,#REF!,#REF!,#REF!,#REF!,#REF!,#REF!,#REF!,#REF!</definedName>
    <definedName name="nurspups.wts">'[9]Inputs for SWGE Forecasting'!$B$152:$B$157</definedName>
    <definedName name="OESR">#REF!</definedName>
    <definedName name="OESR.admin.costs">#REF!</definedName>
    <definedName name="OESR.manual.costs">#REF!</definedName>
    <definedName name="OESR.nonpay.costs">#REF!</definedName>
    <definedName name="OESR.otherstaff.costs">#REF!</definedName>
    <definedName name="OESR.PRC.proportion">'[9]Other Forecasting'!#REF!</definedName>
    <definedName name="OESR.teachers.pay">#REF!</definedName>
    <definedName name="OESRprcprop">'[9]Other Forecasting'!#REF!</definedName>
    <definedName name="OESRprctotal">#REF!</definedName>
    <definedName name="ofsted">'[10]Other Forecasting'!#REF!</definedName>
    <definedName name="old.second.PRC">'[9]Secondary Forecasting'!#REF!</definedName>
    <definedName name="OLDLAESTAB">[12]Home!$B$3</definedName>
    <definedName name="openclose">#REF!</definedName>
    <definedName name="OthColEnd">#REF!</definedName>
    <definedName name="OthColStart">#REF!</definedName>
    <definedName name="other.income">#REF!</definedName>
    <definedName name="Other.nonpay.cost">'[14]Split Under Fives from Primary'!#REF!</definedName>
    <definedName name="OTHER_TRANSPORT">#REF!</definedName>
    <definedName name="OtherCols">#REF!</definedName>
    <definedName name="otherprcprop">'[10]Inputs for SWGE Forecasting'!#REF!</definedName>
    <definedName name="OtherStaffProportion_AllPhases">[53]StaffProportion!$U$17</definedName>
    <definedName name="OtherStaffProportion_PrimSec">[54]StaffProportion!$V$17</definedName>
    <definedName name="otheru5.income">#REF!</definedName>
    <definedName name="otheru5.julypay">#REF!</definedName>
    <definedName name="otheru5.netexpend">#REF!</definedName>
    <definedName name="otheru5.novpay">#REF!</definedName>
    <definedName name="otheru5.othercosts">#REF!</definedName>
    <definedName name="otheru5.pups">'[9]Inputs for SWGE Forecasting'!$B$145:$H$145</definedName>
    <definedName name="otheru5.teaching">#REF!</definedName>
    <definedName name="OthSE">'[32]Qtab output'!$B$9:$B$10,'[32]Qtab output'!$B$17,'[32]Qtab output'!$B$39,'[32]Qtab output'!$B$41,'[32]Qtab output'!$B$49,'[32]Qtab output'!$B$54,'[32]Qtab output'!$B$59,'[32]Qtab output'!$B$63,'[32]Qtab output'!$B$86,'[32]Qtab output'!$B$107,'[32]Qtab output'!$B$118</definedName>
    <definedName name="P_P_POP">#REF!</definedName>
    <definedName name="PD_Alt">[17]Classifications!$O$38</definedName>
    <definedName name="PDS_A_1">[21]Control!$D$93</definedName>
    <definedName name="PDS_B_1">[21]Control!$D$94</definedName>
    <definedName name="PDS_C_1">[21]Control!$D$95</definedName>
    <definedName name="PDS_D_1">[21]Control!$D$96</definedName>
    <definedName name="PDS_LocationFactor_1">[21]Control!$D$97</definedName>
    <definedName name="PDS_Measure_1">[21]Control!$D$104</definedName>
    <definedName name="PDS_Method_1">[21]Control!$D$105</definedName>
    <definedName name="PDS_PP_Limit_1">[21]Control!$D$102</definedName>
    <definedName name="PDS_PP_Weights">[21]Control!$D$103</definedName>
    <definedName name="PDS_Q_1">[21]Control!$D$56</definedName>
    <definedName name="PDS_Summ_Type">#REF!</definedName>
    <definedName name="PDS_WeightSpecial_1">[21]Control!$D$98</definedName>
    <definedName name="PDS_WeightVA_1">[21]Control!$D$99</definedName>
    <definedName name="Pension_Repricing_Factor">'[10]Inputs for SWGE Forecasting'!#REF!</definedName>
    <definedName name="pep_e">'[18]Planning, Housing &amp; Regen(cld)'!#REF!</definedName>
    <definedName name="pep_fye">'[18]Planning, Housing &amp; Regen(cld)'!#REF!</definedName>
    <definedName name="pep_ri">'[18]Planning, Housing &amp; Regen(cld)'!#REF!</definedName>
    <definedName name="PFI_Total">#REF!</definedName>
    <definedName name="Phase_Weight_P16">[21]Control!$G$22</definedName>
    <definedName name="Phase_Weight_P16_Br">[21]Control!$I$22</definedName>
    <definedName name="Phase_Weight_Pr">[21]Control!$G$19</definedName>
    <definedName name="Phase_Weight_Pr_B">[21]Control!$I$19</definedName>
    <definedName name="Phase_Weight_Sec">[21]Control!$G$20</definedName>
    <definedName name="Phase_Weight_Sec_Br">[21]Control!$I$20</definedName>
    <definedName name="Phase_Weight_Sp">[21]Control!$G$21</definedName>
    <definedName name="Phase_Weight_Sp_Br">[21]Control!$I$21</definedName>
    <definedName name="PhaseTot">#REF!,#REF!,#REF!,#REF!</definedName>
    <definedName name="PhaseTot_1">#REF!</definedName>
    <definedName name="PhaseTot_2">#REF!</definedName>
    <definedName name="PhaseTot_3">#REF!</definedName>
    <definedName name="PhaseTot_4">#REF!</definedName>
    <definedName name="Places1516">#REF!</definedName>
    <definedName name="plus5.income">#REF!</definedName>
    <definedName name="plus5.julypay">#REF!</definedName>
    <definedName name="plus5.netexpend">#REF!</definedName>
    <definedName name="plus5.novpay">#REF!</definedName>
    <definedName name="plus5.othercosts">#REF!</definedName>
    <definedName name="plus5.pups">'[9]Inputs for SWGE Forecasting'!$B$147:$H$147</definedName>
    <definedName name="plus5.teaching">#REF!</definedName>
    <definedName name="PMDTot">#REF!</definedName>
    <definedName name="PMLD_Alt">[17]Classifications!$O$22</definedName>
    <definedName name="pmrow">#REF!</definedName>
    <definedName name="Post_16">#REF!</definedName>
    <definedName name="Post_LAC_premium">[19]Policy_decisions!$C$7</definedName>
    <definedName name="PP_LocationFactor_1">[21]Control!$D$87</definedName>
    <definedName name="PP_LS_1">[21]Control!$D$85</definedName>
    <definedName name="PP_PhaseWeight_1">[21]Control!$D$86</definedName>
    <definedName name="PP_Unit_1">[21]Control!$D$90</definedName>
    <definedName name="PPMDP">#REF!</definedName>
    <definedName name="PPMDS">#REF!</definedName>
    <definedName name="PPN">#REF!</definedName>
    <definedName name="PPP">#REF!</definedName>
    <definedName name="PPS">#REF!</definedName>
    <definedName name="PPSP">#REF!</definedName>
    <definedName name="PRC">#REF!</definedName>
    <definedName name="prc.prim">'[14]Split Under Fives from Primary'!#REF!</definedName>
    <definedName name="prc.sec">'[9]Secondary Forecasting'!#REF!</definedName>
    <definedName name="prcprop">'[9]Secondary Forecasting'!#REF!</definedName>
    <definedName name="Pri_distance_threshold">[8]Proforma!$D$46</definedName>
    <definedName name="Pri_PupilNo_threshold">[8]Proforma!$G$46</definedName>
    <definedName name="prim.average.sal">'[9]Inputs for SWGE Forecasting'!#REF!</definedName>
    <definedName name="prim.bdg.index">'[14]Split Under Fives from Primary'!#REF!</definedName>
    <definedName name="prim.enhancement">'[10]Inputs for SWGE Forecasting'!#REF!</definedName>
    <definedName name="prim.entitlement">'[10]Inputs for SWGE Forecasting'!#REF!</definedName>
    <definedName name="prim.mortality">'[10]Inputs for SWGE Forecasting'!#REF!</definedName>
    <definedName name="prim.net.expend">'[14]Split Under Fives from Primary'!#REF!</definedName>
    <definedName name="prim.nontea.adj">'[9]Inputs for SWGE Forecasting'!$C$135:$H$135</definedName>
    <definedName name="prim.prc.nos">'[10]Inputs for SWGE Forecasting'!#REF!</definedName>
    <definedName name="prim.redundancy">'[10]Inputs for SWGE Forecasting'!#REF!</definedName>
    <definedName name="prim.reprice.ind">'[9]Calculation of Repricing Factor'!$K$240:$P$240</definedName>
    <definedName name="prim.salary.drift">'[14]Split Under Fives from Primary'!#REF!</definedName>
    <definedName name="prim.sect.adj">'[9]Inputs for SWGE Forecasting'!#REF!</definedName>
    <definedName name="prim.subtotal">'[14]Split Under Fives from Primary'!#REF!</definedName>
    <definedName name="prim.total.retirees">'[10]Inputs for SWGE Forecasting'!#REF!</definedName>
    <definedName name="prim_rows">#REF!</definedName>
    <definedName name="primary">#REF!,#REF!,#REF!,#REF!,#REF!</definedName>
    <definedName name="primary.final.total">'[14]Split Under Fives from Primary'!#REF!</definedName>
    <definedName name="primary.prc.costs">'[10]PRC Repricing Factor'!#REF!</definedName>
    <definedName name="primary.prc.index">'[10]PRC Repricing Factor'!#REF!</definedName>
    <definedName name="Primary_Lump_sum">[8]Proforma!$F$43</definedName>
    <definedName name="Primary_new">#REF!</definedName>
    <definedName name="primaryprctotal">'[14]Split Under Fives from Primary'!#REF!</definedName>
    <definedName name="primbldg.in">'[9]Inputs for SWGE Forecasting'!$C$160:$H$160</definedName>
    <definedName name="primbldg.out">'[9]Inputs for SWGE Forecasting'!$C$161:$H$161</definedName>
    <definedName name="primPRC">'[9]Inputs for SWGE Forecasting'!#REF!</definedName>
    <definedName name="primteas">'[9]Inputs for SWGE Forecasting'!$B$139:$H$139</definedName>
    <definedName name="proportion.PRC.second">'[9]Secondary Forecasting'!#REF!</definedName>
    <definedName name="Prorata">[55]EarlyYears!$R$9</definedName>
    <definedName name="Provider_List">'[56]Provider Listing'!$A$2:$A$411</definedName>
    <definedName name="Provider_Table">'[56]Provider Listing'!$A$2:$B$411</definedName>
    <definedName name="Prow">#REF!</definedName>
    <definedName name="PS_Rows">#REF!</definedName>
    <definedName name="PSBP2_Switch">[21]Control!$D$70</definedName>
    <definedName name="pup">#REF!</definedName>
    <definedName name="pupeq">'[11]Grant 1.2'!$K$5</definedName>
    <definedName name="pupf">'[11]Grant 1.2'!$K$1</definedName>
    <definedName name="Pupil">'[57]Pupil Numbers'!#REF!</definedName>
    <definedName name="pupil.support.expend">#REF!</definedName>
    <definedName name="pupil.support.income">#REF!</definedName>
    <definedName name="Pupil_numbers">#REF!</definedName>
    <definedName name="PUPIL_SUPPORT">#REF!</definedName>
    <definedName name="Pupils">[58]MFGreport!#REF!</definedName>
    <definedName name="PupPre">#REF!</definedName>
    <definedName name="PVI">#REF!</definedName>
    <definedName name="Qdate">[17]data!$B$3</definedName>
    <definedName name="qpupiltotal">#REF!</definedName>
    <definedName name="QShortname">[17]Submit!$F$18</definedName>
    <definedName name="r_ri">'[18]Resources Fwd Plan'!#REF!</definedName>
    <definedName name="r_sd">#REF!</definedName>
    <definedName name="RATES">'[59]Total Exclus 2013-14'!$T$5:$Z$6</definedName>
    <definedName name="Rates_Total">#REF!</definedName>
    <definedName name="Reasons_list">'[8]Inputs &amp; Adjustments'!$DC$6:$DC$13</definedName>
    <definedName name="Rec_Up">#REF!</definedName>
    <definedName name="Reception_Uplift_YesNo">[8]Proforma!$E$12</definedName>
    <definedName name="Reference">#REF!</definedName>
    <definedName name="Release">[37]Home!$H$11</definedName>
    <definedName name="REM">'[11]Grant 1.2'!$I$5</definedName>
    <definedName name="Repnum">[4]Choose!$F$16</definedName>
    <definedName name="rising5.income">#REF!</definedName>
    <definedName name="rising5.julypay">#REF!</definedName>
    <definedName name="rising5.netexpend">#REF!</definedName>
    <definedName name="rising5.novpay">#REF!</definedName>
    <definedName name="rising5.othercosts">#REF!</definedName>
    <definedName name="rising5.pups">'[9]Inputs for SWGE Forecasting'!$B$146:$H$146</definedName>
    <definedName name="rising5.teaching">#REF!</definedName>
    <definedName name="risk_ass">#REF!</definedName>
    <definedName name="risk_cec">#REF!</definedName>
    <definedName name="risk_cexp">#REF!</definedName>
    <definedName name="risk_cs">#REF!</definedName>
    <definedName name="risk_et">#REF!</definedName>
    <definedName name="risk_gov">#REF!</definedName>
    <definedName name="risk_hra">#REF!</definedName>
    <definedName name="risk_hsg">#REF!</definedName>
    <definedName name="risk_pep">#REF!</definedName>
    <definedName name="risk_r">#REF!</definedName>
    <definedName name="risk_sd">#REF!</definedName>
    <definedName name="risk_speg">#REF!</definedName>
    <definedName name="RorTot_2">#REF!</definedName>
    <definedName name="RorTot1">#REF!</definedName>
    <definedName name="rownames">#REF!</definedName>
    <definedName name="RowTot">#REF!</definedName>
    <definedName name="RowTot_1">#REF!</definedName>
    <definedName name="RowTot_16">#REF!</definedName>
    <definedName name="RowTot_17">#REF!</definedName>
    <definedName name="RowTot_2">#REF!</definedName>
    <definedName name="RowTot_3">#REF!</definedName>
    <definedName name="RowTot_4">#REF!</definedName>
    <definedName name="RowTot_5">#REF!</definedName>
    <definedName name="RowTot_6">#REF!</definedName>
    <definedName name="Run">[4]Choose!$A$14</definedName>
    <definedName name="SAP">'[37]HighNeeds Orig'!$A$15</definedName>
    <definedName name="SC_premium">[19]Policy_decisions!$C$8</definedName>
    <definedName name="Scale_factor">#REF!</definedName>
    <definedName name="Scaling_Factor">[8]Proforma!$G$72</definedName>
    <definedName name="ScalingFactor">[31]UserInterface!$C$6</definedName>
    <definedName name="ScalingFactor_GoalSeek">[43]AdjustScaling!$C$6</definedName>
    <definedName name="sch">[12]Payments!$I$29</definedName>
    <definedName name="Sch_type">[60]Rates!$A$4:$A$8</definedName>
    <definedName name="SchName">[4]Choose!$J$16</definedName>
    <definedName name="schno">[25]Pupils!$Q$19</definedName>
    <definedName name="School">[61]Home!$F$15</definedName>
    <definedName name="School_list">#REF!</definedName>
    <definedName name="school_Note">#REF!</definedName>
    <definedName name="SCHOOL_TRANSPORT">#REF!</definedName>
    <definedName name="School_URN_ChartData">#REF!</definedName>
    <definedName name="School_URN_DD">'[15]G) De Delegation'!#REF!</definedName>
    <definedName name="School_URN_Factors">[16]Factors!$A$3:$A$109</definedName>
    <definedName name="School_URN_Input">#REF!</definedName>
    <definedName name="School_URN_NDShare">'[15]F) New Delegation Control'!#REF!</definedName>
    <definedName name="SchoolOutput_baselineSelector">'[62]SCHOOL OUTPUT'!$AH$4</definedName>
    <definedName name="SchoolOutput_deflateByACA">'[62]SCHOOL OUTPUT'!$AO$4</definedName>
    <definedName name="SchoolOutput_includeCR">'[62]SCHOOL OUTPUT'!$AK$4</definedName>
    <definedName name="Schools">#REF!</definedName>
    <definedName name="Schoolsblock">[23]Schools!$C$11:$AZ$22</definedName>
    <definedName name="SchRow_Tot">#REF!</definedName>
    <definedName name="SchRowTot">#REF!</definedName>
    <definedName name="SchTypeList">[39]CodeSet!$C$1:$C$10</definedName>
    <definedName name="sd_e">#REF!</definedName>
    <definedName name="sd_fye">#REF!</definedName>
    <definedName name="sd_p">#REF!</definedName>
    <definedName name="sd_r">#REF!</definedName>
    <definedName name="sd_ri">#REF!</definedName>
    <definedName name="sdfye">#REF!</definedName>
    <definedName name="sec.average.sal">'[10]Inputs for SWGE Forecasting'!#REF!</definedName>
    <definedName name="sec.enhancement">'[10]Inputs for SWGE Forecasting'!#REF!</definedName>
    <definedName name="sec.entitlement">'[10]Inputs for SWGE Forecasting'!#REF!</definedName>
    <definedName name="sec.mortality">'[10]Inputs for SWGE Forecasting'!#REF!</definedName>
    <definedName name="sec.other.nonpay">#REF!</definedName>
    <definedName name="SEC.PRC">'[9]Inputs for SWGE Forecasting'!#REF!</definedName>
    <definedName name="sec.prc.nos">'[10]Inputs for SWGE Forecasting'!#REF!</definedName>
    <definedName name="sec.redundancy">'[10]Inputs for SWGE Forecasting'!#REF!</definedName>
    <definedName name="sec.sect.adj">'[9]Inputs for SWGE Forecasting'!#REF!</definedName>
    <definedName name="sec.total.retirees">'[10]Inputs for SWGE Forecasting'!#REF!</definedName>
    <definedName name="Sec_distance_threshold">[8]Proforma!$D$47</definedName>
    <definedName name="Sec_PupilNo_threshold">[8]Proforma!$G$47</definedName>
    <definedName name="sec_rows">#REF!</definedName>
    <definedName name="second.fees.cost">#REF!</definedName>
    <definedName name="second.subtotal">#REF!</definedName>
    <definedName name="secondary">#REF!,#REF!,#REF!</definedName>
    <definedName name="secondary.prc.costs">'[10]PRC Repricing Factor'!#REF!</definedName>
    <definedName name="secondary.prc.index">'[10]PRC Repricing Factor'!#REF!</definedName>
    <definedName name="Secondary_Lump_Sum">[8]Proforma!$G$43</definedName>
    <definedName name="Secondary_new">#REF!</definedName>
    <definedName name="SEN_CC_Table">[38]Coding!$A$4:$B$17</definedName>
    <definedName name="sep">[12]TRANS!#REF!</definedName>
    <definedName name="September">[12]TRANS!#REF!</definedName>
    <definedName name="Setting">#REF!</definedName>
    <definedName name="Settings">#REF!</definedName>
    <definedName name="sheet">#REF!</definedName>
    <definedName name="Sixth_Form_Total">'[46]New ISB'!$AI$5</definedName>
    <definedName name="SIXTHFORM">#REF!</definedName>
    <definedName name="SLASC">#REF!</definedName>
    <definedName name="SLCN_Alt">[17]Classifications!$O$30</definedName>
    <definedName name="SLD_Alt">[17]Classifications!$O$21</definedName>
    <definedName name="SMDTot">#REF!</definedName>
    <definedName name="smrow">#REF!</definedName>
    <definedName name="SP_Rows">#REF!</definedName>
    <definedName name="Sparsity_All_lump_sum">[8]Proforma!$I$44</definedName>
    <definedName name="Sparsity_Mid_lump_sum">[8]Proforma!$H$44</definedName>
    <definedName name="Sparsity_Pri_DD_percentage">'[8]De Delegation'!$X$26</definedName>
    <definedName name="Sparsity_Pri_lump_sum">[8]Proforma!$F$44</definedName>
    <definedName name="Sparsity_Pri_Scaled">[20]UnitValues!$E$32</definedName>
    <definedName name="Sparsity_Scaled">[20]UnitValues!#REF!</definedName>
    <definedName name="Sparsity_Sec_DD_percentage">'[8]De Delegation'!$Y$26</definedName>
    <definedName name="Sparsity_Sec_lump_sum">[8]Proforma!$G$44</definedName>
    <definedName name="Sparsity_Sec_Scaled">[20]UnitValues!$E$33</definedName>
    <definedName name="Sparsity_Total">#REF!</definedName>
    <definedName name="spe_rows">#REF!</definedName>
    <definedName name="spec.average.sal">'[10]Inputs for SWGE Forecasting'!#REF!</definedName>
    <definedName name="spec.enhancement">'[10]Inputs for SWGE Forecasting'!#REF!</definedName>
    <definedName name="spec.entitlement">'[10]Inputs for SWGE Forecasting'!#REF!</definedName>
    <definedName name="spec.mortality">'[10]Inputs for SWGE Forecasting'!#REF!</definedName>
    <definedName name="spec.prc.nos">'[10]Inputs for SWGE Forecasting'!#REF!</definedName>
    <definedName name="spec.redundancy">'[10]Inputs for SWGE Forecasting'!#REF!</definedName>
    <definedName name="spec.sect.adj">'[9]Inputs for SWGE Forecasting'!#REF!</definedName>
    <definedName name="spec.total.retirees">'[10]Inputs for SWGE Forecasting'!#REF!</definedName>
    <definedName name="spechide">#REF!</definedName>
    <definedName name="special">#REF!,#REF!</definedName>
    <definedName name="special.fees.cost">#REF!</definedName>
    <definedName name="special.income.tot">#REF!</definedName>
    <definedName name="special.net.expend">#REF!</definedName>
    <definedName name="special.other.nonpay">#REF!</definedName>
    <definedName name="special.prc.costs">'[10]PRC Repricing Factor'!#REF!</definedName>
    <definedName name="special.prc.index">'[10]PRC Repricing Factor'!#REF!</definedName>
    <definedName name="special.subtotal">#REF!</definedName>
    <definedName name="SPECIAL_FACTOR">'[9]Statemented Adjustment Factor '!#REF!</definedName>
    <definedName name="speg_e">#REF!</definedName>
    <definedName name="speg_fye">#REF!</definedName>
    <definedName name="speg_p">#REF!</definedName>
    <definedName name="speg_r">#REF!</definedName>
    <definedName name="speg_ri">#REF!</definedName>
    <definedName name="SpLD_Alt">[17]Classifications!$O$19</definedName>
    <definedName name="Split_Sites_Total">#REF!</definedName>
    <definedName name="Spring_term_EFA_prop">[19]Policy_decisions!$I$4</definedName>
    <definedName name="SProw">#REF!</definedName>
    <definedName name="SPSS">#REF!</definedName>
    <definedName name="Srow">#REF!</definedName>
    <definedName name="SS_OPT">[21]Control!$F$40</definedName>
    <definedName name="SS_Rows">#REF!</definedName>
    <definedName name="SS_Value">[21]Control!$D$40</definedName>
    <definedName name="SSparWgt_LEA">'[13]03-04 Sparsity'!$G$4</definedName>
    <definedName name="SSparWgt_sch">'[13]03-04 Sparsity'!$E$4</definedName>
    <definedName name="StaffProportion_AllPhases">[53]StaffProportion!$U$20</definedName>
    <definedName name="StaffProportion_PrimSec">[54]StaffProportion!$V$20</definedName>
    <definedName name="Standard">#REF!</definedName>
    <definedName name="start">[24]Summary!$A$4</definedName>
    <definedName name="Start_of_autumn_term_2014">[19]Policy_decisions!$H$5</definedName>
    <definedName name="Start_of_spring_term_2015">[19]Policy_decisions!$H$6</definedName>
    <definedName name="Start_of_summer_term_2014">[19]Policy_decisions!$H$4</definedName>
    <definedName name="StartCol_7">#REF!</definedName>
    <definedName name="StartCol1">#REF!</definedName>
    <definedName name="StartCol10">#REF!</definedName>
    <definedName name="StartCol11">#REF!</definedName>
    <definedName name="StartCol12">#REF!</definedName>
    <definedName name="StartCol13">#REF!</definedName>
    <definedName name="StartCol14">#REF!</definedName>
    <definedName name="StartCol15">#REF!</definedName>
    <definedName name="StartCol16">#REF!</definedName>
    <definedName name="StartCol17">#REF!</definedName>
    <definedName name="StartCol18">#REF!</definedName>
    <definedName name="StartCol19">#REF!</definedName>
    <definedName name="StartCol2">#REF!</definedName>
    <definedName name="StartCol20">#REF!</definedName>
    <definedName name="StartCol3">#REF!</definedName>
    <definedName name="StartCol4">#REF!</definedName>
    <definedName name="StartCol5">#REF!</definedName>
    <definedName name="StartCol6">#REF!</definedName>
    <definedName name="StartCol7">#REF!</definedName>
    <definedName name="StartCol8">#REF!</definedName>
    <definedName name="StartCol9">#REF!</definedName>
    <definedName name="startdfes">#REF!</definedName>
    <definedName name="SUMMARY">#REF!</definedName>
    <definedName name="Summer_term_EFA_prop">[19]Policy_decisions!$I$5</definedName>
    <definedName name="Summer_term_LA_prop">[19]Policy_decisions!$J$5</definedName>
    <definedName name="Swest">'[32]Qtab output'!$B$5,'[32]Qtab output'!$B$27,'[32]Qtab output'!$B$32,'[32]Qtab output'!$B$34,'[32]Qtab output'!$B$43,'[32]Qtab output'!$B$98,'[32]Qtab output'!$B$120</definedName>
    <definedName name="SWGE.years">'[9]Inputs for SWGE Forecasting'!$B$3:$H$3</definedName>
    <definedName name="T_Specialist_Schools_Designated">#REF!</definedName>
    <definedName name="T1_School">#REF!</definedName>
    <definedName name="T1_School_HN">#REF!</definedName>
    <definedName name="T1_Transfer">#REF!</definedName>
    <definedName name="T1Used">'[1]Running info'!#REF!</definedName>
    <definedName name="T2_Notes_Check">#REF!</definedName>
    <definedName name="T4_School">#REF!</definedName>
    <definedName name="table">#REF!</definedName>
    <definedName name="Table_2">#REF!,#REF!,#REF!,#REF!,#REF!,#REF!,#REF!,#REF!,#REF!,#REF!,#REF!</definedName>
    <definedName name="Table2">#REF!,#REF!,#REF!,#REF!,#REF!,#REF!,#REF!</definedName>
    <definedName name="Table2_2">#REF!,#REF!,#REF!,#REF!,#REF!,#REF!,#REF!</definedName>
    <definedName name="Table2_3">#REF!,#REF!,#REF!,#REF!,#REF!,#REF!,#REF!</definedName>
    <definedName name="Table2_4">#REF!</definedName>
    <definedName name="Table2_5">#REF!,#REF!,#REF!,#REF!,#REF!,#REF!</definedName>
    <definedName name="Table20">#REF!,#REF!,#REF!,#REF!,#REF!,#REF!,#REF!</definedName>
    <definedName name="Tapered_all_lump_sum">[8]Proforma!$K$49</definedName>
    <definedName name="Tapered_mid_lump_sum">[8]Proforma!$K$48</definedName>
    <definedName name="Tapered_primary_lump_sum">[8]Proforma!$K$46</definedName>
    <definedName name="Tapered_secondary_lump_sum">[8]Proforma!$K$47</definedName>
    <definedName name="Target.Address">[12]Choose!$D$6</definedName>
    <definedName name="TC.manual.costs">#REF!</definedName>
    <definedName name="TC.nonpay.costs">#REF!</definedName>
    <definedName name="tc.prc.proportion">'[9]Other Forecasting'!#REF!</definedName>
    <definedName name="TC.support.costs">#REF!</definedName>
    <definedName name="TC.teachers.pay">#REF!</definedName>
    <definedName name="TCtotalprc">#REF!</definedName>
    <definedName name="TE_Nursery">#REF!</definedName>
    <definedName name="TE_Primary">#REF!</definedName>
    <definedName name="TE_SecMiddle">#REF!</definedName>
    <definedName name="TE_Secondary">#REF!</definedName>
    <definedName name="TE_Special">#REF!</definedName>
    <definedName name="teach.reprice.sum">'[9]Calculation of Repricing Factor'!$B$348:$G$348</definedName>
    <definedName name="TEACHER_CENTRES">#REF!</definedName>
    <definedName name="Teacher_s_Salary_Repricing_Factor">'[10]Inputs for SWGE Forecasting'!#REF!</definedName>
    <definedName name="TeacherProportion_AllPhases">[53]StaffProportion!$U$16</definedName>
    <definedName name="TeacherProportion_PrimSec">[54]StaffProportion!$V$16</definedName>
    <definedName name="teachpayinc.1">'[9]Inputs for SWGE Forecasting'!#REF!</definedName>
    <definedName name="TEST0">#REF!</definedName>
    <definedName name="TEST1">#REF!</definedName>
    <definedName name="TEST10">#REF!</definedName>
    <definedName name="TEST11">#REF!</definedName>
    <definedName name="TEST12">#REF!</definedName>
    <definedName name="TEST13">#REF!</definedName>
    <definedName name="TEST2">'[63]SAP Download'!#REF!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hisYear">[4]Choose!$E$14</definedName>
    <definedName name="TopLEA">[64]Lookups!$B$3</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TopRow_1">#REF!</definedName>
    <definedName name="TopRow_16">#REF!</definedName>
    <definedName name="TopRow_17">#REF!</definedName>
    <definedName name="TopRow_2">#REF!</definedName>
    <definedName name="TopRow_3">#REF!</definedName>
    <definedName name="TopRow_4">#REF!</definedName>
    <definedName name="TopRow_5">#REF!</definedName>
    <definedName name="TopRow_6">#REF!</definedName>
    <definedName name="TopRowPri">#REF!</definedName>
    <definedName name="tot.spec.recoupment">#REF!</definedName>
    <definedName name="tot_1">#REF!</definedName>
    <definedName name="tot_2">#REF!</definedName>
    <definedName name="tot_3">#REF!</definedName>
    <definedName name="tot_4">#REF!</definedName>
    <definedName name="tot_5">#REF!</definedName>
    <definedName name="tot_6">#REF!</definedName>
    <definedName name="total.PRC">'[9]Secondary Forecasting'!#REF!</definedName>
    <definedName name="Total_1314_Quantum">#REF!</definedName>
    <definedName name="Total_ACA_inflated_Ever6_Jan12_pupils">#REF!</definedName>
    <definedName name="Total_ACA_inflated_Jan12_pupils">#REF!</definedName>
    <definedName name="Total_DFC">'[65]DFC filter'!$D$11</definedName>
    <definedName name="Total_Ever6_Jan12_pupils">#REF!</definedName>
    <definedName name="Total_Inflated_pupil_numbers">#REF!</definedName>
    <definedName name="Total_Jan12_Inflated_pupils">#REF!</definedName>
    <definedName name="Total_Jan12_pupils">#REF!</definedName>
    <definedName name="Total_Notional_SEN">#REF!</definedName>
    <definedName name="Total_Primary_funding">#REF!</definedName>
    <definedName name="Total_Secondary_Funding">#REF!</definedName>
    <definedName name="TotalBudget_1">[21]Control!$D$38</definedName>
    <definedName name="TotalRow_1">#REF!</definedName>
    <definedName name="TotalRow_2">#REF!</definedName>
    <definedName name="TotalRow_3">#REF!</definedName>
    <definedName name="TotalRow_4">#REF!</definedName>
    <definedName name="TotalRow_5">#REF!</definedName>
    <definedName name="totalspecprc">#REF!</definedName>
    <definedName name="totprc">'[9]Special Forecasting'!#REF!</definedName>
    <definedName name="totprim.pups">'[9]Inputs for SWGE Forecasting'!$B$148:$H$148</definedName>
    <definedName name="Transactions">[66]trans!$C$5639</definedName>
    <definedName name="TRANSPORT">'[9]Other Forecasting'!#REF!</definedName>
    <definedName name="transport.5plus">'[14]Split Under Fives from Primary'!#REF!</definedName>
    <definedName name="transport.nurs.classes">'[14]Split Under Fives from Primary'!#REF!</definedName>
    <definedName name="transport.nurs.pups">'[14]Split Under Fives from Primary'!#REF!</definedName>
    <definedName name="transport.otheru5">'[14]Split Under Fives from Primary'!#REF!</definedName>
    <definedName name="transport.rising5">'[14]Split Under Fives from Primary'!#REF!</definedName>
    <definedName name="TS_Nursery">#REF!</definedName>
    <definedName name="TS_Primary">#REF!</definedName>
    <definedName name="TS_PriMiddle">#REF!</definedName>
    <definedName name="TS_SecMiddle">#REF!</definedName>
    <definedName name="TS_Secondary">#REF!</definedName>
    <definedName name="TS_Special">#REF!</definedName>
    <definedName name="TVEI">'[9]Inputs for SWGE Forecasting'!#REF!</definedName>
    <definedName name="TVEI.income">'[9]Secondary Forecasting'!#REF!</definedName>
    <definedName name="unitvalues">#REF!</definedName>
    <definedName name="Upper">#REF!</definedName>
    <definedName name="URN">#REF!</definedName>
    <definedName name="VA_Weight">[21]Control!$I$26</definedName>
    <definedName name="VENDORNO">#REF!</definedName>
    <definedName name="Ver">[4]Choose!$B$14</definedName>
    <definedName name="Version">[12]Home!$M$16</definedName>
    <definedName name="Version2">[12]Home!$M$16</definedName>
    <definedName name="VI_Alt">[17]Classifications!$O$35</definedName>
    <definedName name="weekending">[67]weeks!$F$4:$G$62</definedName>
    <definedName name="Wmidlands">'[32]Qtab output'!$B$12,'[32]Qtab output'!$B$28,'[32]Qtab output'!$B$35,'[32]Qtab output'!$B$93,'[32]Qtab output'!$B$113,'[32]Qtab output'!$B$122,'[32]Qtab output'!$B$53,'[32]Qtab output'!$B$96:$B$97,'[32]Qtab output'!$B$103,'[32]Qtab output'!$B$116</definedName>
    <definedName name="X_Label">#REF!</definedName>
    <definedName name="XAxis">#REF!</definedName>
    <definedName name="Y_Label">#REF!</definedName>
    <definedName name="YAxis">#REF!</definedName>
    <definedName name="Year">[17]data!$B$2</definedName>
    <definedName name="Year_End">'[38]Holidays &amp; Term Dates'!$O$2</definedName>
    <definedName name="Year_Start">'[38]Holidays &amp; Term Dates'!$M$2</definedName>
    <definedName name="year02">[24]Howto!$B$8</definedName>
    <definedName name="Year1">[24]Howto!$B$7</definedName>
    <definedName name="YearBudget_1">[21]Control!#REF!</definedName>
    <definedName name="Yorkshumb">'[32]Qtab output'!$B$8,'[32]Qtab output'!$B$33,'[32]Qtab output'!$B$91,'[32]Qtab output'!$B$95,'[32]Qtab output'!$B$14,'[32]Qtab output'!$B$19,'[32]Qtab output'!$B$65,'[32]Qtab output'!$B$69,'[32]Qtab output'!$B$112,'[32]Qtab output'!$B$57,'[32]Qtab output'!$B$81</definedName>
    <definedName name="YOUTH">#REF!</definedName>
    <definedName name="youth.manual.costs">#REF!</definedName>
    <definedName name="youth.net.expend">#REF!</definedName>
    <definedName name="youth.nonpay.costs">#REF!</definedName>
    <definedName name="youth.otherapril.costs">#REF!</definedName>
    <definedName name="youth.PRC">'[9]Other Forecasting'!#REF!</definedName>
    <definedName name="youth.support.costs">#REF!</definedName>
    <definedName name="youth.teachers.pay">#REF!</definedName>
    <definedName name="youthtotalprc">#REF!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6" i="14" l="1"/>
  <c r="L94" i="14"/>
  <c r="L93" i="14"/>
  <c r="L92" i="14"/>
  <c r="K94" i="14"/>
  <c r="K93" i="14"/>
  <c r="K92" i="14"/>
  <c r="J94" i="14"/>
  <c r="J93" i="14"/>
  <c r="J92" i="14"/>
  <c r="I94" i="14"/>
  <c r="I93" i="14"/>
  <c r="I92" i="14"/>
  <c r="H94" i="14"/>
  <c r="H93" i="14"/>
  <c r="H92" i="14"/>
  <c r="G94" i="14"/>
  <c r="G93" i="14"/>
  <c r="G92" i="14"/>
  <c r="L90" i="14"/>
  <c r="L89" i="14"/>
  <c r="L88" i="14"/>
  <c r="K90" i="14"/>
  <c r="K89" i="14"/>
  <c r="K88" i="14"/>
  <c r="J90" i="14"/>
  <c r="J89" i="14"/>
  <c r="J88" i="14"/>
  <c r="I90" i="14"/>
  <c r="I89" i="14"/>
  <c r="I88" i="14"/>
  <c r="H90" i="14"/>
  <c r="H89" i="14"/>
  <c r="H88" i="14"/>
  <c r="G90" i="14"/>
  <c r="G89" i="14"/>
  <c r="G88" i="14"/>
  <c r="L86" i="14"/>
  <c r="L85" i="14"/>
  <c r="L84" i="14"/>
  <c r="L83" i="14"/>
  <c r="K86" i="14"/>
  <c r="K85" i="14"/>
  <c r="K84" i="14"/>
  <c r="K83" i="14"/>
  <c r="J86" i="14"/>
  <c r="J85" i="14"/>
  <c r="J84" i="14"/>
  <c r="J83" i="14"/>
  <c r="I86" i="14"/>
  <c r="I85" i="14"/>
  <c r="I84" i="14"/>
  <c r="I83" i="14"/>
  <c r="H86" i="14"/>
  <c r="H85" i="14"/>
  <c r="H84" i="14"/>
  <c r="H83" i="14"/>
  <c r="G86" i="14"/>
  <c r="G85" i="14"/>
  <c r="G84" i="14"/>
  <c r="G83" i="14"/>
  <c r="L81" i="14"/>
  <c r="L80" i="14"/>
  <c r="L79" i="14"/>
  <c r="K81" i="14"/>
  <c r="K80" i="14"/>
  <c r="K79" i="14"/>
  <c r="J81" i="14"/>
  <c r="J80" i="14"/>
  <c r="J79" i="14"/>
  <c r="I81" i="14"/>
  <c r="I80" i="14"/>
  <c r="I79" i="14"/>
  <c r="H81" i="14"/>
  <c r="H80" i="14"/>
  <c r="H79" i="14"/>
  <c r="G81" i="14"/>
  <c r="G80" i="14"/>
  <c r="G79" i="14"/>
  <c r="L77" i="14"/>
  <c r="L76" i="14"/>
  <c r="K77" i="14"/>
  <c r="K76" i="14"/>
  <c r="J77" i="14"/>
  <c r="J76" i="14"/>
  <c r="I77" i="14"/>
  <c r="I76" i="14"/>
  <c r="H77" i="14"/>
  <c r="H76" i="14"/>
  <c r="G77" i="14"/>
  <c r="G76" i="14"/>
  <c r="L74" i="14"/>
  <c r="L73" i="14"/>
  <c r="K74" i="14"/>
  <c r="K73" i="14"/>
  <c r="J74" i="14"/>
  <c r="J73" i="14"/>
  <c r="I74" i="14"/>
  <c r="I73" i="14"/>
  <c r="H74" i="14"/>
  <c r="H73" i="14"/>
  <c r="G74" i="14"/>
  <c r="G73" i="14"/>
  <c r="L71" i="14"/>
  <c r="L70" i="14"/>
  <c r="L69" i="14"/>
  <c r="K71" i="14"/>
  <c r="K70" i="14"/>
  <c r="K69" i="14"/>
  <c r="J71" i="14"/>
  <c r="J70" i="14"/>
  <c r="J69" i="14"/>
  <c r="I71" i="14"/>
  <c r="I70" i="14"/>
  <c r="I69" i="14"/>
  <c r="H71" i="14"/>
  <c r="H70" i="14"/>
  <c r="H69" i="14"/>
  <c r="G71" i="14"/>
  <c r="G70" i="14"/>
  <c r="G69" i="14"/>
  <c r="L67" i="14"/>
  <c r="L66" i="14"/>
  <c r="K67" i="14"/>
  <c r="K66" i="14"/>
  <c r="J67" i="14"/>
  <c r="J66" i="14"/>
  <c r="I67" i="14"/>
  <c r="I66" i="14"/>
  <c r="H67" i="14"/>
  <c r="H66" i="14"/>
  <c r="G67" i="14"/>
  <c r="G66" i="14"/>
  <c r="L64" i="14"/>
  <c r="L63" i="14"/>
  <c r="L62" i="14"/>
  <c r="K64" i="14"/>
  <c r="K63" i="14"/>
  <c r="K62" i="14"/>
  <c r="J64" i="14"/>
  <c r="J63" i="14"/>
  <c r="J62" i="14"/>
  <c r="I64" i="14"/>
  <c r="I63" i="14"/>
  <c r="I62" i="14"/>
  <c r="H64" i="14"/>
  <c r="H63" i="14"/>
  <c r="H62" i="14"/>
  <c r="G64" i="14"/>
  <c r="G63" i="14"/>
  <c r="G62" i="14"/>
  <c r="L60" i="14"/>
  <c r="L59" i="14"/>
  <c r="L58" i="14"/>
  <c r="L57" i="14"/>
  <c r="K60" i="14"/>
  <c r="K59" i="14"/>
  <c r="K58" i="14"/>
  <c r="K57" i="14"/>
  <c r="J60" i="14"/>
  <c r="J59" i="14"/>
  <c r="J58" i="14"/>
  <c r="J57" i="14"/>
  <c r="I60" i="14"/>
  <c r="I59" i="14"/>
  <c r="I58" i="14"/>
  <c r="I57" i="14"/>
  <c r="H60" i="14"/>
  <c r="H59" i="14"/>
  <c r="H58" i="14"/>
  <c r="H57" i="14"/>
  <c r="G60" i="14"/>
  <c r="G59" i="14"/>
  <c r="G58" i="14"/>
  <c r="G57" i="14"/>
  <c r="L55" i="14"/>
  <c r="L54" i="14"/>
  <c r="L53" i="14"/>
  <c r="L52" i="14"/>
  <c r="K55" i="14"/>
  <c r="K54" i="14"/>
  <c r="K53" i="14"/>
  <c r="K52" i="14"/>
  <c r="J55" i="14"/>
  <c r="J54" i="14"/>
  <c r="J53" i="14"/>
  <c r="J52" i="14"/>
  <c r="I55" i="14"/>
  <c r="I54" i="14"/>
  <c r="I53" i="14"/>
  <c r="I52" i="14"/>
  <c r="H55" i="14"/>
  <c r="H54" i="14"/>
  <c r="H53" i="14"/>
  <c r="H52" i="14"/>
  <c r="G55" i="14"/>
  <c r="G54" i="14"/>
  <c r="G53" i="14"/>
  <c r="G52" i="14"/>
  <c r="L50" i="14"/>
  <c r="L49" i="14"/>
  <c r="L48" i="14"/>
  <c r="L47" i="14"/>
  <c r="K50" i="14"/>
  <c r="K49" i="14"/>
  <c r="K48" i="14"/>
  <c r="K47" i="14"/>
  <c r="J50" i="14"/>
  <c r="J49" i="14"/>
  <c r="J48" i="14"/>
  <c r="J47" i="14"/>
  <c r="I50" i="14"/>
  <c r="I49" i="14"/>
  <c r="I48" i="14"/>
  <c r="I47" i="14"/>
  <c r="H50" i="14"/>
  <c r="H49" i="14"/>
  <c r="H48" i="14"/>
  <c r="H47" i="14"/>
  <c r="G50" i="14"/>
  <c r="G49" i="14"/>
  <c r="G48" i="14"/>
  <c r="G47" i="14"/>
  <c r="L45" i="14"/>
  <c r="L44" i="14"/>
  <c r="L43" i="14"/>
  <c r="L42" i="14"/>
  <c r="K45" i="14"/>
  <c r="K44" i="14"/>
  <c r="K43" i="14"/>
  <c r="K42" i="14"/>
  <c r="J45" i="14"/>
  <c r="J44" i="14"/>
  <c r="J43" i="14"/>
  <c r="J42" i="14"/>
  <c r="I45" i="14"/>
  <c r="I44" i="14"/>
  <c r="I43" i="14"/>
  <c r="I42" i="14"/>
  <c r="H45" i="14"/>
  <c r="H44" i="14"/>
  <c r="H43" i="14"/>
  <c r="H42" i="14"/>
  <c r="G45" i="14"/>
  <c r="G44" i="14"/>
  <c r="G43" i="14"/>
  <c r="G42" i="14"/>
  <c r="L40" i="14"/>
  <c r="L39" i="14"/>
  <c r="L38" i="14"/>
  <c r="L37" i="14"/>
  <c r="K40" i="14"/>
  <c r="K39" i="14"/>
  <c r="K38" i="14"/>
  <c r="K37" i="14"/>
  <c r="J40" i="14"/>
  <c r="J39" i="14"/>
  <c r="J38" i="14"/>
  <c r="J37" i="14"/>
  <c r="I40" i="14"/>
  <c r="I39" i="14"/>
  <c r="I38" i="14"/>
  <c r="I37" i="14"/>
  <c r="H40" i="14"/>
  <c r="H39" i="14"/>
  <c r="H38" i="14"/>
  <c r="H37" i="14"/>
  <c r="G40" i="14"/>
  <c r="G39" i="14"/>
  <c r="G38" i="14"/>
  <c r="G37" i="14"/>
  <c r="L34" i="14"/>
  <c r="L33" i="14"/>
  <c r="K34" i="14"/>
  <c r="K33" i="14"/>
  <c r="J34" i="14"/>
  <c r="J33" i="14"/>
  <c r="I34" i="14"/>
  <c r="I33" i="14"/>
  <c r="H34" i="14"/>
  <c r="H33" i="14"/>
  <c r="G34" i="14"/>
  <c r="G33" i="14"/>
  <c r="L31" i="14"/>
  <c r="L30" i="14"/>
  <c r="K31" i="14"/>
  <c r="K30" i="14"/>
  <c r="J31" i="14"/>
  <c r="J30" i="14"/>
  <c r="I31" i="14"/>
  <c r="I30" i="14"/>
  <c r="H31" i="14"/>
  <c r="H30" i="14"/>
  <c r="G31" i="14"/>
  <c r="G30" i="14"/>
  <c r="L28" i="14"/>
  <c r="L27" i="14"/>
  <c r="K28" i="14"/>
  <c r="K27" i="14"/>
  <c r="J28" i="14"/>
  <c r="J27" i="14"/>
  <c r="I28" i="14"/>
  <c r="I27" i="14"/>
  <c r="H28" i="14"/>
  <c r="H27" i="14"/>
  <c r="G28" i="14"/>
  <c r="G27" i="14"/>
  <c r="L25" i="14"/>
  <c r="L24" i="14"/>
  <c r="K25" i="14"/>
  <c r="K24" i="14"/>
  <c r="J25" i="14"/>
  <c r="J24" i="14"/>
  <c r="I25" i="14"/>
  <c r="I24" i="14"/>
  <c r="H25" i="14"/>
  <c r="H24" i="14"/>
  <c r="G25" i="14"/>
  <c r="G24" i="14"/>
  <c r="L22" i="14"/>
  <c r="L21" i="14"/>
  <c r="K22" i="14"/>
  <c r="K21" i="14"/>
  <c r="J22" i="14"/>
  <c r="J21" i="14"/>
  <c r="I22" i="14"/>
  <c r="I21" i="14"/>
  <c r="H22" i="14"/>
  <c r="H21" i="14"/>
  <c r="G22" i="14"/>
  <c r="G21" i="14"/>
  <c r="L19" i="14"/>
  <c r="L18" i="14"/>
  <c r="K19" i="14"/>
  <c r="K18" i="14"/>
  <c r="J19" i="14"/>
  <c r="J18" i="14"/>
  <c r="I19" i="14"/>
  <c r="I18" i="14"/>
  <c r="H19" i="14"/>
  <c r="H18" i="14"/>
  <c r="G19" i="14"/>
  <c r="G18" i="14"/>
  <c r="L16" i="14"/>
  <c r="L15" i="14"/>
  <c r="K16" i="14"/>
  <c r="K15" i="14"/>
  <c r="J16" i="14"/>
  <c r="J15" i="14"/>
  <c r="I16" i="14"/>
  <c r="I15" i="14"/>
  <c r="H16" i="14"/>
  <c r="H15" i="14"/>
  <c r="G16" i="14"/>
  <c r="G15" i="14"/>
  <c r="L13" i="14"/>
  <c r="L12" i="14"/>
  <c r="K13" i="14"/>
  <c r="K12" i="14"/>
  <c r="J13" i="14"/>
  <c r="J12" i="14"/>
  <c r="I13" i="14"/>
  <c r="I12" i="14"/>
  <c r="H13" i="14"/>
  <c r="H12" i="14"/>
  <c r="G13" i="14"/>
  <c r="G12" i="14"/>
  <c r="L10" i="14"/>
  <c r="K10" i="14"/>
  <c r="J10" i="14"/>
  <c r="I10" i="14"/>
  <c r="H10" i="14"/>
  <c r="G10" i="14"/>
  <c r="L9" i="14"/>
  <c r="K9" i="14"/>
  <c r="I9" i="14"/>
  <c r="H9" i="14"/>
  <c r="J9" i="14"/>
  <c r="L96" i="14"/>
  <c r="K96" i="14"/>
  <c r="I96" i="14"/>
  <c r="H96" i="14"/>
  <c r="G96" i="14"/>
  <c r="DW97" i="3"/>
  <c r="DW96" i="3"/>
  <c r="DW93" i="3"/>
  <c r="DW94" i="3"/>
  <c r="DW92" i="3"/>
  <c r="DW86" i="3"/>
  <c r="DW87" i="3"/>
  <c r="DW88" i="3"/>
  <c r="DW89" i="3"/>
  <c r="DW90" i="3"/>
  <c r="DW85" i="3"/>
  <c r="DW83" i="3"/>
  <c r="DW72" i="3"/>
  <c r="DW73" i="3"/>
  <c r="DW74" i="3"/>
  <c r="DW75" i="3"/>
  <c r="DW76" i="3"/>
  <c r="DW77" i="3"/>
  <c r="DW78" i="3"/>
  <c r="DW79" i="3"/>
  <c r="DW80" i="3"/>
  <c r="DW81" i="3"/>
  <c r="DW61" i="3"/>
  <c r="DW62" i="3"/>
  <c r="DW63" i="3"/>
  <c r="DW64" i="3"/>
  <c r="DW65" i="3"/>
  <c r="DW66" i="3"/>
  <c r="DW67" i="3"/>
  <c r="DW68" i="3"/>
  <c r="DW69" i="3"/>
  <c r="DW70" i="3"/>
  <c r="DW71" i="3"/>
  <c r="DW50" i="3"/>
  <c r="DW51" i="3"/>
  <c r="DW52" i="3"/>
  <c r="DW53" i="3"/>
  <c r="DW54" i="3"/>
  <c r="DW55" i="3"/>
  <c r="DW56" i="3"/>
  <c r="DW57" i="3"/>
  <c r="DW58" i="3"/>
  <c r="DW59" i="3"/>
  <c r="DW60" i="3"/>
  <c r="DW37" i="3"/>
  <c r="DW38" i="3"/>
  <c r="DW39" i="3"/>
  <c r="DW40" i="3"/>
  <c r="DW41" i="3"/>
  <c r="DW42" i="3"/>
  <c r="DW43" i="3"/>
  <c r="DW44" i="3"/>
  <c r="DW45" i="3"/>
  <c r="DW46" i="3"/>
  <c r="DW47" i="3"/>
  <c r="DW48" i="3"/>
  <c r="DW49" i="3"/>
  <c r="DW31" i="3"/>
  <c r="DW32" i="3"/>
  <c r="DW33" i="3"/>
  <c r="DW34" i="3"/>
  <c r="DW35" i="3"/>
  <c r="DW36" i="3"/>
  <c r="DW19" i="3"/>
  <c r="DW20" i="3"/>
  <c r="DW21" i="3"/>
  <c r="DW22" i="3"/>
  <c r="DW23" i="3"/>
  <c r="DW24" i="3"/>
  <c r="DW25" i="3"/>
  <c r="DW26" i="3"/>
  <c r="DW27" i="3"/>
  <c r="DW28" i="3"/>
  <c r="DW29" i="3"/>
  <c r="DW30" i="3"/>
  <c r="DW10" i="3"/>
  <c r="DW11" i="3"/>
  <c r="DW12" i="3"/>
  <c r="DW13" i="3"/>
  <c r="DW14" i="3"/>
  <c r="DW15" i="3"/>
  <c r="DW16" i="3"/>
  <c r="DW17" i="3"/>
  <c r="DW18" i="3"/>
  <c r="AC9" i="3"/>
  <c r="AD9" i="3"/>
  <c r="AE9" i="3"/>
  <c r="AF9" i="3"/>
  <c r="AG9" i="3"/>
  <c r="AH9" i="3"/>
  <c r="AI9" i="3"/>
  <c r="AJ9" i="3"/>
  <c r="BD9" i="3" s="1"/>
  <c r="AK9" i="3"/>
  <c r="AL9" i="3"/>
  <c r="AM9" i="3"/>
  <c r="AN9" i="3"/>
  <c r="AO9" i="3"/>
  <c r="AP9" i="3"/>
  <c r="AQ9" i="3"/>
  <c r="AR9" i="3"/>
  <c r="AS9" i="3"/>
  <c r="AT9" i="3"/>
  <c r="AU9" i="3"/>
  <c r="AV9" i="3"/>
  <c r="AW9" i="3"/>
  <c r="AX9" i="3"/>
  <c r="AY9" i="3"/>
  <c r="AZ9" i="3"/>
  <c r="BA9" i="3"/>
  <c r="BB9" i="3"/>
  <c r="BC9" i="3"/>
  <c r="BM9" i="3" s="1"/>
  <c r="BF9" i="3"/>
  <c r="BH9" i="3"/>
  <c r="BR9" i="3" s="1"/>
  <c r="BI9" i="3"/>
  <c r="BK9" i="3"/>
  <c r="BO9" i="3"/>
  <c r="BQ9" i="3"/>
  <c r="BS9" i="3"/>
  <c r="BW9" i="3"/>
  <c r="BY9" i="3"/>
  <c r="CA9" i="3"/>
  <c r="CC9" i="3"/>
  <c r="CE9" i="3"/>
  <c r="CF9" i="3"/>
  <c r="CI9" i="3"/>
  <c r="CJ9" i="3"/>
  <c r="CM9" i="3"/>
  <c r="CN9" i="3"/>
  <c r="CQ9" i="3"/>
  <c r="CR9" i="3"/>
  <c r="CU9" i="3"/>
  <c r="CV9" i="3"/>
  <c r="CY9" i="3"/>
  <c r="DD9" i="3"/>
  <c r="DG9" i="3"/>
  <c r="DJ9" i="3"/>
  <c r="DK9" i="3"/>
  <c r="DN9" i="3"/>
  <c r="DQ9" i="3"/>
  <c r="DW5" i="3"/>
  <c r="DW6" i="3"/>
  <c r="DW7" i="3"/>
  <c r="DW4" i="3"/>
  <c r="DV97" i="3"/>
  <c r="DV96" i="3"/>
  <c r="DV93" i="3"/>
  <c r="DV94" i="3"/>
  <c r="DV92" i="3"/>
  <c r="DV86" i="3"/>
  <c r="DV87" i="3"/>
  <c r="DV88" i="3"/>
  <c r="DV89" i="3"/>
  <c r="DV90" i="3"/>
  <c r="DV85" i="3"/>
  <c r="DV83" i="3"/>
  <c r="DV10" i="3"/>
  <c r="DV11" i="3"/>
  <c r="DV12" i="3"/>
  <c r="DV13" i="3"/>
  <c r="DV14" i="3"/>
  <c r="DV15" i="3"/>
  <c r="DV16" i="3"/>
  <c r="DV17" i="3"/>
  <c r="DV18" i="3"/>
  <c r="DV19" i="3"/>
  <c r="DV20" i="3"/>
  <c r="DV21" i="3"/>
  <c r="DV22" i="3"/>
  <c r="DV23" i="3"/>
  <c r="DV24" i="3"/>
  <c r="DV25" i="3"/>
  <c r="DV26" i="3"/>
  <c r="DV27" i="3"/>
  <c r="DV28" i="3"/>
  <c r="DV29" i="3"/>
  <c r="DV30" i="3"/>
  <c r="DV31" i="3"/>
  <c r="DV32" i="3"/>
  <c r="DV33" i="3"/>
  <c r="DV34" i="3"/>
  <c r="DV35" i="3"/>
  <c r="DV36" i="3"/>
  <c r="DV37" i="3"/>
  <c r="DV38" i="3"/>
  <c r="DV39" i="3"/>
  <c r="DV40" i="3"/>
  <c r="DV41" i="3"/>
  <c r="DV42" i="3"/>
  <c r="DV43" i="3"/>
  <c r="DV44" i="3"/>
  <c r="DV45" i="3"/>
  <c r="DV46" i="3"/>
  <c r="DV47" i="3"/>
  <c r="DV48" i="3"/>
  <c r="DV49" i="3"/>
  <c r="DV50" i="3"/>
  <c r="DV51" i="3"/>
  <c r="DV52" i="3"/>
  <c r="DV53" i="3"/>
  <c r="DV54" i="3"/>
  <c r="DV55" i="3"/>
  <c r="DV56" i="3"/>
  <c r="DV57" i="3"/>
  <c r="DV58" i="3"/>
  <c r="DV59" i="3"/>
  <c r="DV60" i="3"/>
  <c r="DV61" i="3"/>
  <c r="DV62" i="3"/>
  <c r="DV63" i="3"/>
  <c r="DV64" i="3"/>
  <c r="DV65" i="3"/>
  <c r="DV66" i="3"/>
  <c r="DV67" i="3"/>
  <c r="DV68" i="3"/>
  <c r="DV69" i="3"/>
  <c r="DV70" i="3"/>
  <c r="DV71" i="3"/>
  <c r="DV72" i="3"/>
  <c r="DV73" i="3"/>
  <c r="DV74" i="3"/>
  <c r="DV75" i="3"/>
  <c r="DV76" i="3"/>
  <c r="DV77" i="3"/>
  <c r="DV78" i="3"/>
  <c r="DV79" i="3"/>
  <c r="DV80" i="3"/>
  <c r="DV81" i="3"/>
  <c r="DV5" i="3"/>
  <c r="DV6" i="3"/>
  <c r="DV7" i="3"/>
  <c r="DV4" i="3"/>
  <c r="EB97" i="3"/>
  <c r="EB93" i="3"/>
  <c r="EB94" i="3"/>
  <c r="EB96" i="3"/>
  <c r="EB92" i="3"/>
  <c r="EB86" i="3"/>
  <c r="EB87" i="3"/>
  <c r="EB88" i="3"/>
  <c r="EB89" i="3"/>
  <c r="EB90" i="3"/>
  <c r="EB85" i="3"/>
  <c r="EB83" i="3"/>
  <c r="EB63" i="3"/>
  <c r="EB64" i="3"/>
  <c r="EB65" i="3"/>
  <c r="EB66" i="3"/>
  <c r="EB67" i="3"/>
  <c r="EB68" i="3"/>
  <c r="EB69" i="3"/>
  <c r="EB70" i="3"/>
  <c r="EB71" i="3"/>
  <c r="EB72" i="3"/>
  <c r="EB73" i="3"/>
  <c r="EB74" i="3"/>
  <c r="EB75" i="3"/>
  <c r="EB76" i="3"/>
  <c r="EB77" i="3"/>
  <c r="EB78" i="3"/>
  <c r="EB79" i="3"/>
  <c r="EB80" i="3"/>
  <c r="EB81" i="3"/>
  <c r="EB10" i="3"/>
  <c r="EB11" i="3"/>
  <c r="EB12" i="3"/>
  <c r="EB13" i="3"/>
  <c r="EB14" i="3"/>
  <c r="EB15" i="3"/>
  <c r="EB16" i="3"/>
  <c r="EB17" i="3"/>
  <c r="EB18" i="3"/>
  <c r="EB19" i="3"/>
  <c r="EB20" i="3"/>
  <c r="EB21" i="3"/>
  <c r="EB22" i="3"/>
  <c r="EB23" i="3"/>
  <c r="EB24" i="3"/>
  <c r="EB25" i="3"/>
  <c r="EB26" i="3"/>
  <c r="EB27" i="3"/>
  <c r="EB28" i="3"/>
  <c r="EB29" i="3"/>
  <c r="EB30" i="3"/>
  <c r="EB31" i="3"/>
  <c r="EB32" i="3"/>
  <c r="EB33" i="3"/>
  <c r="EB34" i="3"/>
  <c r="EB35" i="3"/>
  <c r="EB36" i="3"/>
  <c r="EB37" i="3"/>
  <c r="EB38" i="3"/>
  <c r="EB39" i="3"/>
  <c r="EB40" i="3"/>
  <c r="EB41" i="3"/>
  <c r="EB42" i="3"/>
  <c r="EB43" i="3"/>
  <c r="EB44" i="3"/>
  <c r="EB45" i="3"/>
  <c r="EB46" i="3"/>
  <c r="EB47" i="3"/>
  <c r="EB48" i="3"/>
  <c r="EB49" i="3"/>
  <c r="EB50" i="3"/>
  <c r="EB51" i="3"/>
  <c r="EB52" i="3"/>
  <c r="EB53" i="3"/>
  <c r="EB54" i="3"/>
  <c r="EB55" i="3"/>
  <c r="EB56" i="3"/>
  <c r="EB57" i="3"/>
  <c r="EB58" i="3"/>
  <c r="EB59" i="3"/>
  <c r="EB60" i="3"/>
  <c r="EB61" i="3"/>
  <c r="EB62" i="3"/>
  <c r="EB9" i="3"/>
  <c r="EB5" i="3"/>
  <c r="EB6" i="3"/>
  <c r="EB7" i="3"/>
  <c r="EB4" i="3"/>
  <c r="V67" i="55"/>
  <c r="U67" i="55"/>
  <c r="S67" i="55"/>
  <c r="R67" i="55"/>
  <c r="Q67" i="55"/>
  <c r="P67" i="55"/>
  <c r="N67" i="55"/>
  <c r="M67" i="55"/>
  <c r="L67" i="55"/>
  <c r="K67" i="55"/>
  <c r="I67" i="55"/>
  <c r="E59" i="54"/>
  <c r="DV9" i="3" l="1"/>
  <c r="CW9" i="3"/>
  <c r="DO9" i="3"/>
  <c r="CG9" i="3"/>
  <c r="DE9" i="3"/>
  <c r="CZ9" i="3"/>
  <c r="DH9" i="3"/>
  <c r="CO9" i="3"/>
  <c r="CK9" i="3"/>
  <c r="CS9" i="3"/>
  <c r="DR9" i="3"/>
  <c r="DL9" i="3"/>
  <c r="DT9" i="3"/>
  <c r="BX9" i="3"/>
  <c r="BP9" i="3"/>
  <c r="DS9" i="3"/>
  <c r="DC9" i="3"/>
  <c r="DB9" i="3"/>
  <c r="CT9" i="3"/>
  <c r="CL9" i="3"/>
  <c r="CD9" i="3"/>
  <c r="BV9" i="3"/>
  <c r="BN9" i="3"/>
  <c r="BE9" i="3"/>
  <c r="BG9" i="3" s="1"/>
  <c r="DI9" i="3"/>
  <c r="DA9" i="3"/>
  <c r="BU9" i="3"/>
  <c r="DU9" i="3"/>
  <c r="DM9" i="3"/>
  <c r="DP9" i="3"/>
  <c r="CB9" i="3"/>
  <c r="BT9" i="3"/>
  <c r="BL9" i="3"/>
  <c r="DF9" i="3"/>
  <c r="CX9" i="3"/>
  <c r="CP9" i="3"/>
  <c r="CH9" i="3"/>
  <c r="BZ9" i="3"/>
  <c r="DW9" i="3"/>
  <c r="BH97" i="3"/>
  <c r="BH96" i="3"/>
  <c r="BH93" i="3"/>
  <c r="BH94" i="3"/>
  <c r="BH92" i="3"/>
  <c r="BH86" i="3"/>
  <c r="BH87" i="3"/>
  <c r="BH88" i="3"/>
  <c r="BH89" i="3"/>
  <c r="BH90" i="3"/>
  <c r="BH85" i="3"/>
  <c r="BH83" i="3"/>
  <c r="BH34" i="3"/>
  <c r="BH35" i="3"/>
  <c r="BH36" i="3"/>
  <c r="BH37" i="3"/>
  <c r="BH38" i="3"/>
  <c r="BH39" i="3"/>
  <c r="BH40" i="3"/>
  <c r="BH41" i="3"/>
  <c r="BH42" i="3"/>
  <c r="BH43" i="3"/>
  <c r="BH44" i="3"/>
  <c r="BH45" i="3"/>
  <c r="BH46" i="3"/>
  <c r="BH47" i="3"/>
  <c r="BH48" i="3"/>
  <c r="BH49" i="3"/>
  <c r="BH50" i="3"/>
  <c r="BH51" i="3"/>
  <c r="BH52" i="3"/>
  <c r="BH53" i="3"/>
  <c r="BH54" i="3"/>
  <c r="BH55" i="3"/>
  <c r="BH56" i="3"/>
  <c r="BH57" i="3"/>
  <c r="BH58" i="3"/>
  <c r="BH59" i="3"/>
  <c r="BH60" i="3"/>
  <c r="BH61" i="3"/>
  <c r="BH62" i="3"/>
  <c r="BH63" i="3"/>
  <c r="BH64" i="3"/>
  <c r="BH65" i="3"/>
  <c r="BH66" i="3"/>
  <c r="BH67" i="3"/>
  <c r="BH68" i="3"/>
  <c r="BH69" i="3"/>
  <c r="BH70" i="3"/>
  <c r="BH71" i="3"/>
  <c r="BH72" i="3"/>
  <c r="BH73" i="3"/>
  <c r="BH74" i="3"/>
  <c r="BH75" i="3"/>
  <c r="BH76" i="3"/>
  <c r="BH77" i="3"/>
  <c r="BH78" i="3"/>
  <c r="BH79" i="3"/>
  <c r="BH80" i="3"/>
  <c r="BH81" i="3"/>
  <c r="BH26" i="3"/>
  <c r="BH27" i="3"/>
  <c r="BH28" i="3"/>
  <c r="BH29" i="3"/>
  <c r="BH30" i="3"/>
  <c r="BH31" i="3"/>
  <c r="BH32" i="3"/>
  <c r="BH33" i="3"/>
  <c r="BH10" i="3"/>
  <c r="BH11" i="3"/>
  <c r="BH12" i="3"/>
  <c r="BH13" i="3"/>
  <c r="BH14" i="3"/>
  <c r="BH15" i="3"/>
  <c r="BH16" i="3"/>
  <c r="BH17" i="3"/>
  <c r="BH18" i="3"/>
  <c r="BH19" i="3"/>
  <c r="BH20" i="3"/>
  <c r="BH21" i="3"/>
  <c r="BH22" i="3"/>
  <c r="BH23" i="3"/>
  <c r="BH24" i="3"/>
  <c r="BH25" i="3"/>
  <c r="BH5" i="3"/>
  <c r="BH7" i="3"/>
  <c r="BH4" i="3"/>
  <c r="E6" i="54"/>
  <c r="BH6" i="3" l="1"/>
  <c r="E95" i="54"/>
  <c r="BH110" i="3" s="1"/>
  <c r="EA5" i="3"/>
  <c r="EA4" i="3"/>
  <c r="R91" i="52"/>
  <c r="S91" i="52"/>
  <c r="Q91" i="52"/>
  <c r="BF110" i="3" s="1"/>
  <c r="BF97" i="3"/>
  <c r="BF96" i="3"/>
  <c r="BF93" i="3"/>
  <c r="BF94" i="3"/>
  <c r="BF92" i="3"/>
  <c r="BF86" i="3"/>
  <c r="BF87" i="3"/>
  <c r="BF88" i="3"/>
  <c r="BF89" i="3"/>
  <c r="BF90" i="3"/>
  <c r="BF85" i="3"/>
  <c r="BF83" i="3"/>
  <c r="BF28" i="3"/>
  <c r="BF29" i="3"/>
  <c r="BF30" i="3"/>
  <c r="BF31" i="3"/>
  <c r="BF32" i="3"/>
  <c r="BF33" i="3"/>
  <c r="BF34" i="3"/>
  <c r="BF35" i="3"/>
  <c r="BF36" i="3"/>
  <c r="BF37" i="3"/>
  <c r="BF38" i="3"/>
  <c r="BF39" i="3"/>
  <c r="BF40" i="3"/>
  <c r="BF41" i="3"/>
  <c r="BF42" i="3"/>
  <c r="BF43" i="3"/>
  <c r="BF44" i="3"/>
  <c r="BF45" i="3"/>
  <c r="BF46" i="3"/>
  <c r="BF47" i="3"/>
  <c r="BF48" i="3"/>
  <c r="BF49" i="3"/>
  <c r="BF50" i="3"/>
  <c r="BF51" i="3"/>
  <c r="BF52" i="3"/>
  <c r="BF53" i="3"/>
  <c r="BF54" i="3"/>
  <c r="BF55" i="3"/>
  <c r="BF56" i="3"/>
  <c r="BF57" i="3"/>
  <c r="BF58" i="3"/>
  <c r="BF59" i="3"/>
  <c r="BF60" i="3"/>
  <c r="BF61" i="3"/>
  <c r="BF62" i="3"/>
  <c r="BF63" i="3"/>
  <c r="BF64" i="3"/>
  <c r="BF65" i="3"/>
  <c r="BF66" i="3"/>
  <c r="BF67" i="3"/>
  <c r="BF68" i="3"/>
  <c r="BF69" i="3"/>
  <c r="BF70" i="3"/>
  <c r="BF71" i="3"/>
  <c r="BF72" i="3"/>
  <c r="BF73" i="3"/>
  <c r="BF74" i="3"/>
  <c r="BF75" i="3"/>
  <c r="BF76" i="3"/>
  <c r="BF77" i="3"/>
  <c r="BF78" i="3"/>
  <c r="BF79" i="3"/>
  <c r="BF80" i="3"/>
  <c r="BF81" i="3"/>
  <c r="BF10" i="3"/>
  <c r="BF11" i="3"/>
  <c r="BF12" i="3"/>
  <c r="BF13" i="3"/>
  <c r="BF14" i="3"/>
  <c r="BF15" i="3"/>
  <c r="BF16" i="3"/>
  <c r="BF17" i="3"/>
  <c r="BF18" i="3"/>
  <c r="BF19" i="3"/>
  <c r="BF20" i="3"/>
  <c r="BF21" i="3"/>
  <c r="BF22" i="3"/>
  <c r="BF23" i="3"/>
  <c r="BF24" i="3"/>
  <c r="BF25" i="3"/>
  <c r="BF26" i="3"/>
  <c r="BF27" i="3"/>
  <c r="BF5" i="3"/>
  <c r="BF6" i="3"/>
  <c r="BF7" i="3"/>
  <c r="BF4" i="3"/>
  <c r="BB86" i="3"/>
  <c r="BB87" i="3"/>
  <c r="BB88" i="3"/>
  <c r="BB89" i="3"/>
  <c r="BB90" i="3"/>
  <c r="BB93" i="3"/>
  <c r="BB94" i="3"/>
  <c r="BB97" i="3"/>
  <c r="BB96" i="3"/>
  <c r="BB92" i="3"/>
  <c r="BB85" i="3"/>
  <c r="BB83" i="3"/>
  <c r="BB10" i="3"/>
  <c r="BB11" i="3"/>
  <c r="BB12" i="3"/>
  <c r="BB13" i="3"/>
  <c r="BB14" i="3"/>
  <c r="BB15" i="3"/>
  <c r="BB16" i="3"/>
  <c r="BB17" i="3"/>
  <c r="BB18" i="3"/>
  <c r="BB19" i="3"/>
  <c r="BB20" i="3"/>
  <c r="BB21" i="3"/>
  <c r="BB22" i="3"/>
  <c r="BB23" i="3"/>
  <c r="BB24" i="3"/>
  <c r="BB25" i="3"/>
  <c r="BB26" i="3"/>
  <c r="BB27" i="3"/>
  <c r="BB28" i="3"/>
  <c r="BB29" i="3"/>
  <c r="BB30" i="3"/>
  <c r="BB31" i="3"/>
  <c r="BB32" i="3"/>
  <c r="BB33" i="3"/>
  <c r="BB34" i="3"/>
  <c r="BB35" i="3"/>
  <c r="BB36" i="3"/>
  <c r="BB37" i="3"/>
  <c r="BB38" i="3"/>
  <c r="BB39" i="3"/>
  <c r="BB40" i="3"/>
  <c r="BB41" i="3"/>
  <c r="BB42" i="3"/>
  <c r="BB43" i="3"/>
  <c r="BB44" i="3"/>
  <c r="BB45" i="3"/>
  <c r="BB46" i="3"/>
  <c r="BB47" i="3"/>
  <c r="BB48" i="3"/>
  <c r="BB49" i="3"/>
  <c r="BB50" i="3"/>
  <c r="BB51" i="3"/>
  <c r="BB52" i="3"/>
  <c r="BB53" i="3"/>
  <c r="BB54" i="3"/>
  <c r="BB55" i="3"/>
  <c r="BB56" i="3"/>
  <c r="BB57" i="3"/>
  <c r="BB58" i="3"/>
  <c r="BB59" i="3"/>
  <c r="BB60" i="3"/>
  <c r="BB61" i="3"/>
  <c r="BB62" i="3"/>
  <c r="BB63" i="3"/>
  <c r="BB64" i="3"/>
  <c r="BB65" i="3"/>
  <c r="BB66" i="3"/>
  <c r="BB67" i="3"/>
  <c r="BB68" i="3"/>
  <c r="BB69" i="3"/>
  <c r="BB70" i="3"/>
  <c r="BB71" i="3"/>
  <c r="BB72" i="3"/>
  <c r="BB73" i="3"/>
  <c r="BB74" i="3"/>
  <c r="BB75" i="3"/>
  <c r="BB76" i="3"/>
  <c r="BB77" i="3"/>
  <c r="BB78" i="3"/>
  <c r="BB79" i="3"/>
  <c r="BB80" i="3"/>
  <c r="BB81" i="3"/>
  <c r="BB5" i="3"/>
  <c r="BB6" i="3"/>
  <c r="BB7" i="3"/>
  <c r="BB4" i="3"/>
  <c r="AZ97" i="3"/>
  <c r="BA97" i="3"/>
  <c r="AZ93" i="3"/>
  <c r="BA93" i="3"/>
  <c r="AZ94" i="3"/>
  <c r="BA94" i="3"/>
  <c r="AZ86" i="3"/>
  <c r="BA86" i="3"/>
  <c r="AZ87" i="3"/>
  <c r="BA87" i="3"/>
  <c r="AZ88" i="3"/>
  <c r="BA88" i="3"/>
  <c r="AZ89" i="3"/>
  <c r="BA89" i="3"/>
  <c r="AZ90" i="3"/>
  <c r="BA90" i="3"/>
  <c r="BA96" i="3"/>
  <c r="AZ96" i="3"/>
  <c r="BA92" i="3"/>
  <c r="AZ92" i="3"/>
  <c r="BA85" i="3"/>
  <c r="AZ85" i="3"/>
  <c r="BA83" i="3"/>
  <c r="AZ83" i="3"/>
  <c r="AZ45" i="3"/>
  <c r="BA45" i="3"/>
  <c r="AZ46" i="3"/>
  <c r="BA46" i="3"/>
  <c r="AZ47" i="3"/>
  <c r="BA47" i="3"/>
  <c r="AZ48" i="3"/>
  <c r="BA48" i="3"/>
  <c r="AZ49" i="3"/>
  <c r="BA49" i="3"/>
  <c r="AZ50" i="3"/>
  <c r="BA50" i="3"/>
  <c r="AZ51" i="3"/>
  <c r="BA51" i="3"/>
  <c r="AZ52" i="3"/>
  <c r="BA52" i="3"/>
  <c r="AZ53" i="3"/>
  <c r="BA53" i="3"/>
  <c r="AZ54" i="3"/>
  <c r="BA54" i="3"/>
  <c r="AZ55" i="3"/>
  <c r="BA55" i="3"/>
  <c r="AZ56" i="3"/>
  <c r="BA56" i="3"/>
  <c r="AZ57" i="3"/>
  <c r="BA57" i="3"/>
  <c r="AZ58" i="3"/>
  <c r="BA58" i="3"/>
  <c r="AZ59" i="3"/>
  <c r="BA59" i="3"/>
  <c r="AZ60" i="3"/>
  <c r="BA60" i="3"/>
  <c r="AZ61" i="3"/>
  <c r="BA61" i="3"/>
  <c r="AZ62" i="3"/>
  <c r="BA62" i="3"/>
  <c r="AZ63" i="3"/>
  <c r="BA63" i="3"/>
  <c r="AZ64" i="3"/>
  <c r="BA64" i="3"/>
  <c r="AZ65" i="3"/>
  <c r="BA65" i="3"/>
  <c r="AZ66" i="3"/>
  <c r="BA66" i="3"/>
  <c r="AZ67" i="3"/>
  <c r="BA67" i="3"/>
  <c r="AZ68" i="3"/>
  <c r="BA68" i="3"/>
  <c r="AZ69" i="3"/>
  <c r="BA69" i="3"/>
  <c r="AZ70" i="3"/>
  <c r="BA70" i="3"/>
  <c r="AZ71" i="3"/>
  <c r="BA71" i="3"/>
  <c r="AZ72" i="3"/>
  <c r="BA72" i="3"/>
  <c r="AZ73" i="3"/>
  <c r="BA73" i="3"/>
  <c r="AZ74" i="3"/>
  <c r="BA74" i="3"/>
  <c r="AZ75" i="3"/>
  <c r="BA75" i="3"/>
  <c r="AZ76" i="3"/>
  <c r="BA76" i="3"/>
  <c r="AZ77" i="3"/>
  <c r="BA77" i="3"/>
  <c r="AZ78" i="3"/>
  <c r="BA78" i="3"/>
  <c r="AZ79" i="3"/>
  <c r="BA79" i="3"/>
  <c r="AZ80" i="3"/>
  <c r="BA80" i="3"/>
  <c r="AZ81" i="3"/>
  <c r="BA81" i="3"/>
  <c r="AZ10" i="3"/>
  <c r="BA10" i="3"/>
  <c r="AZ11" i="3"/>
  <c r="BA11" i="3"/>
  <c r="AZ12" i="3"/>
  <c r="BA12" i="3"/>
  <c r="AZ13" i="3"/>
  <c r="BA13" i="3"/>
  <c r="AZ14" i="3"/>
  <c r="BA14" i="3"/>
  <c r="AZ15" i="3"/>
  <c r="BA15" i="3"/>
  <c r="AZ16" i="3"/>
  <c r="BA16" i="3"/>
  <c r="AZ17" i="3"/>
  <c r="BA17" i="3"/>
  <c r="AZ18" i="3"/>
  <c r="BA18" i="3"/>
  <c r="AZ19" i="3"/>
  <c r="BA19" i="3"/>
  <c r="AZ20" i="3"/>
  <c r="BA20" i="3"/>
  <c r="AZ21" i="3"/>
  <c r="BA21" i="3"/>
  <c r="AZ22" i="3"/>
  <c r="BA22" i="3"/>
  <c r="AZ23" i="3"/>
  <c r="BA23" i="3"/>
  <c r="AZ24" i="3"/>
  <c r="BA24" i="3"/>
  <c r="AZ25" i="3"/>
  <c r="BA25" i="3"/>
  <c r="AZ26" i="3"/>
  <c r="BA26" i="3"/>
  <c r="AZ27" i="3"/>
  <c r="BA27" i="3"/>
  <c r="AZ28" i="3"/>
  <c r="BA28" i="3"/>
  <c r="AZ29" i="3"/>
  <c r="BA29" i="3"/>
  <c r="AZ30" i="3"/>
  <c r="BA30" i="3"/>
  <c r="AZ31" i="3"/>
  <c r="BA31" i="3"/>
  <c r="AZ32" i="3"/>
  <c r="BA32" i="3"/>
  <c r="AZ33" i="3"/>
  <c r="BA33" i="3"/>
  <c r="AZ34" i="3"/>
  <c r="BA34" i="3"/>
  <c r="AZ35" i="3"/>
  <c r="BA35" i="3"/>
  <c r="AZ36" i="3"/>
  <c r="BA36" i="3"/>
  <c r="AZ37" i="3"/>
  <c r="BA37" i="3"/>
  <c r="AZ38" i="3"/>
  <c r="BA38" i="3"/>
  <c r="AZ39" i="3"/>
  <c r="BA39" i="3"/>
  <c r="AZ40" i="3"/>
  <c r="BA40" i="3"/>
  <c r="AZ41" i="3"/>
  <c r="BA41" i="3"/>
  <c r="AZ42" i="3"/>
  <c r="BA42" i="3"/>
  <c r="AZ43" i="3"/>
  <c r="BA43" i="3"/>
  <c r="AZ44" i="3"/>
  <c r="BA44" i="3"/>
  <c r="AZ5" i="3"/>
  <c r="BA5" i="3"/>
  <c r="AZ6" i="3"/>
  <c r="BA6" i="3"/>
  <c r="AZ7" i="3"/>
  <c r="BA7" i="3"/>
  <c r="BA4" i="3"/>
  <c r="AZ4" i="3"/>
  <c r="AX97" i="3"/>
  <c r="AY97" i="3"/>
  <c r="AY96" i="3"/>
  <c r="AX96" i="3"/>
  <c r="AX93" i="3"/>
  <c r="AY93" i="3"/>
  <c r="AX94" i="3"/>
  <c r="AY94" i="3"/>
  <c r="AX86" i="3"/>
  <c r="AY86" i="3"/>
  <c r="AX87" i="3"/>
  <c r="AY87" i="3"/>
  <c r="AX88" i="3"/>
  <c r="AY88" i="3"/>
  <c r="AX89" i="3"/>
  <c r="AY89" i="3"/>
  <c r="AX90" i="3"/>
  <c r="AY90" i="3"/>
  <c r="AY92" i="3"/>
  <c r="AX92" i="3"/>
  <c r="AY85" i="3"/>
  <c r="AX85" i="3"/>
  <c r="AY83" i="3"/>
  <c r="AX83" i="3"/>
  <c r="AX59" i="3"/>
  <c r="AY59" i="3"/>
  <c r="AX60" i="3"/>
  <c r="AY60" i="3"/>
  <c r="AX61" i="3"/>
  <c r="AY61" i="3"/>
  <c r="AX62" i="3"/>
  <c r="AY62" i="3"/>
  <c r="AX63" i="3"/>
  <c r="AY63" i="3"/>
  <c r="AX64" i="3"/>
  <c r="AY64" i="3"/>
  <c r="AX65" i="3"/>
  <c r="AY65" i="3"/>
  <c r="AX66" i="3"/>
  <c r="AY66" i="3"/>
  <c r="AX67" i="3"/>
  <c r="AY67" i="3"/>
  <c r="AX68" i="3"/>
  <c r="AY68" i="3"/>
  <c r="AX69" i="3"/>
  <c r="AY69" i="3"/>
  <c r="AX70" i="3"/>
  <c r="AY70" i="3"/>
  <c r="AX71" i="3"/>
  <c r="AY71" i="3"/>
  <c r="AX72" i="3"/>
  <c r="AY72" i="3"/>
  <c r="AX73" i="3"/>
  <c r="AY73" i="3"/>
  <c r="AX74" i="3"/>
  <c r="AY74" i="3"/>
  <c r="AX75" i="3"/>
  <c r="AY75" i="3"/>
  <c r="AX76" i="3"/>
  <c r="AY76" i="3"/>
  <c r="AX77" i="3"/>
  <c r="AY77" i="3"/>
  <c r="AX78" i="3"/>
  <c r="AY78" i="3"/>
  <c r="AX79" i="3"/>
  <c r="AY79" i="3"/>
  <c r="AX80" i="3"/>
  <c r="AY80" i="3"/>
  <c r="AX81" i="3"/>
  <c r="AY81" i="3"/>
  <c r="AX31" i="3"/>
  <c r="AY31" i="3"/>
  <c r="AX32" i="3"/>
  <c r="AY32" i="3"/>
  <c r="AX33" i="3"/>
  <c r="AY33" i="3"/>
  <c r="AX34" i="3"/>
  <c r="AY34" i="3"/>
  <c r="AX35" i="3"/>
  <c r="AY35" i="3"/>
  <c r="AX36" i="3"/>
  <c r="AY36" i="3"/>
  <c r="AX37" i="3"/>
  <c r="AY37" i="3"/>
  <c r="AX38" i="3"/>
  <c r="AY38" i="3"/>
  <c r="AX39" i="3"/>
  <c r="AY39" i="3"/>
  <c r="AX40" i="3"/>
  <c r="AY40" i="3"/>
  <c r="AX41" i="3"/>
  <c r="AY41" i="3"/>
  <c r="AX42" i="3"/>
  <c r="AY42" i="3"/>
  <c r="AX43" i="3"/>
  <c r="AY43" i="3"/>
  <c r="AX44" i="3"/>
  <c r="AY44" i="3"/>
  <c r="AX45" i="3"/>
  <c r="AY45" i="3"/>
  <c r="AX46" i="3"/>
  <c r="AY46" i="3"/>
  <c r="AX47" i="3"/>
  <c r="AY47" i="3"/>
  <c r="AX48" i="3"/>
  <c r="AY48" i="3"/>
  <c r="AX49" i="3"/>
  <c r="AY49" i="3"/>
  <c r="AX50" i="3"/>
  <c r="AY50" i="3"/>
  <c r="AX51" i="3"/>
  <c r="AY51" i="3"/>
  <c r="AX52" i="3"/>
  <c r="AY52" i="3"/>
  <c r="AX53" i="3"/>
  <c r="AY53" i="3"/>
  <c r="AX54" i="3"/>
  <c r="AY54" i="3"/>
  <c r="AX55" i="3"/>
  <c r="AY55" i="3"/>
  <c r="AX56" i="3"/>
  <c r="AY56" i="3"/>
  <c r="AX57" i="3"/>
  <c r="AY57" i="3"/>
  <c r="AX58" i="3"/>
  <c r="AY58" i="3"/>
  <c r="AX10" i="3"/>
  <c r="AY10" i="3"/>
  <c r="AX11" i="3"/>
  <c r="AY11" i="3"/>
  <c r="AX12" i="3"/>
  <c r="AY12" i="3"/>
  <c r="AX13" i="3"/>
  <c r="AY13" i="3"/>
  <c r="AX14" i="3"/>
  <c r="AY14" i="3"/>
  <c r="AX15" i="3"/>
  <c r="AY15" i="3"/>
  <c r="AX16" i="3"/>
  <c r="AY16" i="3"/>
  <c r="AX17" i="3"/>
  <c r="AY17" i="3"/>
  <c r="AX18" i="3"/>
  <c r="AY18" i="3"/>
  <c r="AX19" i="3"/>
  <c r="AY19" i="3"/>
  <c r="AX20" i="3"/>
  <c r="AY20" i="3"/>
  <c r="AX21" i="3"/>
  <c r="AY21" i="3"/>
  <c r="AX22" i="3"/>
  <c r="AY22" i="3"/>
  <c r="AX23" i="3"/>
  <c r="AY23" i="3"/>
  <c r="AX24" i="3"/>
  <c r="AY24" i="3"/>
  <c r="AX25" i="3"/>
  <c r="AY25" i="3"/>
  <c r="AX26" i="3"/>
  <c r="AY26" i="3"/>
  <c r="AX27" i="3"/>
  <c r="AY27" i="3"/>
  <c r="AX28" i="3"/>
  <c r="AY28" i="3"/>
  <c r="AX29" i="3"/>
  <c r="AY29" i="3"/>
  <c r="AX30" i="3"/>
  <c r="AY30" i="3"/>
  <c r="AX5" i="3"/>
  <c r="AY5" i="3"/>
  <c r="AX6" i="3"/>
  <c r="AY6" i="3"/>
  <c r="AX7" i="3"/>
  <c r="AY7" i="3"/>
  <c r="AY4" i="3"/>
  <c r="AX4" i="3"/>
  <c r="AV97" i="3"/>
  <c r="AW97" i="3"/>
  <c r="AV93" i="3"/>
  <c r="AW93" i="3"/>
  <c r="AV94" i="3"/>
  <c r="AW94" i="3"/>
  <c r="AV86" i="3"/>
  <c r="AW86" i="3"/>
  <c r="AV87" i="3"/>
  <c r="AW87" i="3"/>
  <c r="AV88" i="3"/>
  <c r="AW88" i="3"/>
  <c r="AV89" i="3"/>
  <c r="AW89" i="3"/>
  <c r="AV90" i="3"/>
  <c r="AW90" i="3"/>
  <c r="AW96" i="3"/>
  <c r="AV96" i="3"/>
  <c r="AW92" i="3"/>
  <c r="AV92" i="3"/>
  <c r="AW85" i="3"/>
  <c r="AV85" i="3"/>
  <c r="AW83" i="3"/>
  <c r="AV83" i="3"/>
  <c r="AV24" i="3"/>
  <c r="AW24" i="3"/>
  <c r="AV25" i="3"/>
  <c r="AW25" i="3"/>
  <c r="AV26" i="3"/>
  <c r="AW26" i="3"/>
  <c r="AV27" i="3"/>
  <c r="AW27" i="3"/>
  <c r="AV28" i="3"/>
  <c r="AW28" i="3"/>
  <c r="AV29" i="3"/>
  <c r="AW29" i="3"/>
  <c r="AV30" i="3"/>
  <c r="AW30" i="3"/>
  <c r="AV31" i="3"/>
  <c r="AW31" i="3"/>
  <c r="AV32" i="3"/>
  <c r="AW32" i="3"/>
  <c r="AV33" i="3"/>
  <c r="AW33" i="3"/>
  <c r="AV34" i="3"/>
  <c r="AW34" i="3"/>
  <c r="AV35" i="3"/>
  <c r="AW35" i="3"/>
  <c r="AV36" i="3"/>
  <c r="AW36" i="3"/>
  <c r="AV37" i="3"/>
  <c r="AW37" i="3"/>
  <c r="AV38" i="3"/>
  <c r="AW38" i="3"/>
  <c r="AV39" i="3"/>
  <c r="AW39" i="3"/>
  <c r="AV40" i="3"/>
  <c r="AW40" i="3"/>
  <c r="AV41" i="3"/>
  <c r="AW41" i="3"/>
  <c r="AV42" i="3"/>
  <c r="AW42" i="3"/>
  <c r="AV43" i="3"/>
  <c r="AW43" i="3"/>
  <c r="AV44" i="3"/>
  <c r="AW44" i="3"/>
  <c r="AV45" i="3"/>
  <c r="AW45" i="3"/>
  <c r="AV46" i="3"/>
  <c r="AW46" i="3"/>
  <c r="AV47" i="3"/>
  <c r="AW47" i="3"/>
  <c r="AV48" i="3"/>
  <c r="AW48" i="3"/>
  <c r="AV49" i="3"/>
  <c r="AW49" i="3"/>
  <c r="AV50" i="3"/>
  <c r="AW50" i="3"/>
  <c r="AV51" i="3"/>
  <c r="AW51" i="3"/>
  <c r="AV52" i="3"/>
  <c r="AW52" i="3"/>
  <c r="AV53" i="3"/>
  <c r="AW53" i="3"/>
  <c r="AV54" i="3"/>
  <c r="AW54" i="3"/>
  <c r="AV55" i="3"/>
  <c r="AW55" i="3"/>
  <c r="AV56" i="3"/>
  <c r="AW56" i="3"/>
  <c r="AV57" i="3"/>
  <c r="AW57" i="3"/>
  <c r="AV58" i="3"/>
  <c r="AW58" i="3"/>
  <c r="AV59" i="3"/>
  <c r="AW59" i="3"/>
  <c r="AV60" i="3"/>
  <c r="AW60" i="3"/>
  <c r="AV61" i="3"/>
  <c r="AW61" i="3"/>
  <c r="AV62" i="3"/>
  <c r="AW62" i="3"/>
  <c r="AV63" i="3"/>
  <c r="AW63" i="3"/>
  <c r="AV64" i="3"/>
  <c r="AW64" i="3"/>
  <c r="AV65" i="3"/>
  <c r="AW65" i="3"/>
  <c r="AV66" i="3"/>
  <c r="AW66" i="3"/>
  <c r="AV67" i="3"/>
  <c r="AW67" i="3"/>
  <c r="AV68" i="3"/>
  <c r="AW68" i="3"/>
  <c r="AV69" i="3"/>
  <c r="AW69" i="3"/>
  <c r="AV70" i="3"/>
  <c r="AW70" i="3"/>
  <c r="AV71" i="3"/>
  <c r="AW71" i="3"/>
  <c r="AV72" i="3"/>
  <c r="AW72" i="3"/>
  <c r="AV73" i="3"/>
  <c r="AW73" i="3"/>
  <c r="AV74" i="3"/>
  <c r="AW74" i="3"/>
  <c r="AV75" i="3"/>
  <c r="AW75" i="3"/>
  <c r="AV76" i="3"/>
  <c r="AW76" i="3"/>
  <c r="AV77" i="3"/>
  <c r="AW77" i="3"/>
  <c r="AV78" i="3"/>
  <c r="AW78" i="3"/>
  <c r="AV79" i="3"/>
  <c r="AW79" i="3"/>
  <c r="AV80" i="3"/>
  <c r="AW80" i="3"/>
  <c r="AV81" i="3"/>
  <c r="AW81" i="3"/>
  <c r="AV10" i="3"/>
  <c r="AW10" i="3"/>
  <c r="AV11" i="3"/>
  <c r="AW11" i="3"/>
  <c r="AV12" i="3"/>
  <c r="AW12" i="3"/>
  <c r="AV13" i="3"/>
  <c r="AW13" i="3"/>
  <c r="AV14" i="3"/>
  <c r="AW14" i="3"/>
  <c r="AV15" i="3"/>
  <c r="AW15" i="3"/>
  <c r="AV16" i="3"/>
  <c r="AW16" i="3"/>
  <c r="AV17" i="3"/>
  <c r="AW17" i="3"/>
  <c r="AV18" i="3"/>
  <c r="AW18" i="3"/>
  <c r="AV19" i="3"/>
  <c r="AW19" i="3"/>
  <c r="AV20" i="3"/>
  <c r="AW20" i="3"/>
  <c r="AV21" i="3"/>
  <c r="AW21" i="3"/>
  <c r="AV22" i="3"/>
  <c r="AW22" i="3"/>
  <c r="AV23" i="3"/>
  <c r="AW23" i="3"/>
  <c r="AV5" i="3"/>
  <c r="AW5" i="3"/>
  <c r="AV6" i="3"/>
  <c r="AW6" i="3"/>
  <c r="AV7" i="3"/>
  <c r="AW7" i="3"/>
  <c r="AW4" i="3"/>
  <c r="AV4" i="3"/>
  <c r="AU97" i="3"/>
  <c r="AT97" i="3"/>
  <c r="AU96" i="3"/>
  <c r="AT96" i="3"/>
  <c r="AT93" i="3"/>
  <c r="AU93" i="3"/>
  <c r="AT94" i="3"/>
  <c r="AU94" i="3"/>
  <c r="AT86" i="3"/>
  <c r="AU86" i="3"/>
  <c r="AT87" i="3"/>
  <c r="AU87" i="3"/>
  <c r="AT88" i="3"/>
  <c r="AU88" i="3"/>
  <c r="AT89" i="3"/>
  <c r="AU89" i="3"/>
  <c r="AT90" i="3"/>
  <c r="AU90" i="3"/>
  <c r="AU92" i="3"/>
  <c r="AT92" i="3"/>
  <c r="AU85" i="3"/>
  <c r="AT85" i="3"/>
  <c r="AU83" i="3"/>
  <c r="AT83" i="3"/>
  <c r="AT10" i="3"/>
  <c r="AU10" i="3"/>
  <c r="AT11" i="3"/>
  <c r="AU11" i="3"/>
  <c r="AT12" i="3"/>
  <c r="AU12" i="3"/>
  <c r="AT13" i="3"/>
  <c r="AU13" i="3"/>
  <c r="AT14" i="3"/>
  <c r="AU14" i="3"/>
  <c r="AT15" i="3"/>
  <c r="AU15" i="3"/>
  <c r="AT16" i="3"/>
  <c r="AU16" i="3"/>
  <c r="AT17" i="3"/>
  <c r="AU17" i="3"/>
  <c r="AT18" i="3"/>
  <c r="AU18" i="3"/>
  <c r="AT19" i="3"/>
  <c r="AU19" i="3"/>
  <c r="AT20" i="3"/>
  <c r="AU20" i="3"/>
  <c r="AT21" i="3"/>
  <c r="AU21" i="3"/>
  <c r="AT22" i="3"/>
  <c r="AU22" i="3"/>
  <c r="AT23" i="3"/>
  <c r="AU23" i="3"/>
  <c r="AT24" i="3"/>
  <c r="AU24" i="3"/>
  <c r="AT25" i="3"/>
  <c r="AU25" i="3"/>
  <c r="AT26" i="3"/>
  <c r="AU26" i="3"/>
  <c r="AT27" i="3"/>
  <c r="AU27" i="3"/>
  <c r="AT28" i="3"/>
  <c r="AU28" i="3"/>
  <c r="AT29" i="3"/>
  <c r="AU29" i="3"/>
  <c r="AT30" i="3"/>
  <c r="AU30" i="3"/>
  <c r="AT31" i="3"/>
  <c r="AU31" i="3"/>
  <c r="AT32" i="3"/>
  <c r="AU32" i="3"/>
  <c r="AT33" i="3"/>
  <c r="AU33" i="3"/>
  <c r="AT34" i="3"/>
  <c r="AU34" i="3"/>
  <c r="AT35" i="3"/>
  <c r="AU35" i="3"/>
  <c r="AT36" i="3"/>
  <c r="AU36" i="3"/>
  <c r="AT37" i="3"/>
  <c r="AU37" i="3"/>
  <c r="AT38" i="3"/>
  <c r="AU38" i="3"/>
  <c r="AT39" i="3"/>
  <c r="AU39" i="3"/>
  <c r="AT40" i="3"/>
  <c r="AU40" i="3"/>
  <c r="AT41" i="3"/>
  <c r="AU41" i="3"/>
  <c r="AT42" i="3"/>
  <c r="AU42" i="3"/>
  <c r="AT43" i="3"/>
  <c r="AU43" i="3"/>
  <c r="AT44" i="3"/>
  <c r="AU44" i="3"/>
  <c r="AT45" i="3"/>
  <c r="AU45" i="3"/>
  <c r="AT46" i="3"/>
  <c r="AU46" i="3"/>
  <c r="AT47" i="3"/>
  <c r="AU47" i="3"/>
  <c r="AT48" i="3"/>
  <c r="AU48" i="3"/>
  <c r="AT49" i="3"/>
  <c r="AU49" i="3"/>
  <c r="AT50" i="3"/>
  <c r="AU50" i="3"/>
  <c r="AT51" i="3"/>
  <c r="AU51" i="3"/>
  <c r="AT52" i="3"/>
  <c r="AU52" i="3"/>
  <c r="AT53" i="3"/>
  <c r="AU53" i="3"/>
  <c r="AT54" i="3"/>
  <c r="AU54" i="3"/>
  <c r="AT55" i="3"/>
  <c r="AU55" i="3"/>
  <c r="AT56" i="3"/>
  <c r="AU56" i="3"/>
  <c r="AT57" i="3"/>
  <c r="AU57" i="3"/>
  <c r="AT58" i="3"/>
  <c r="AU58" i="3"/>
  <c r="AT59" i="3"/>
  <c r="AU59" i="3"/>
  <c r="AT60" i="3"/>
  <c r="AU60" i="3"/>
  <c r="AT61" i="3"/>
  <c r="AU61" i="3"/>
  <c r="AT62" i="3"/>
  <c r="AU62" i="3"/>
  <c r="AT63" i="3"/>
  <c r="AU63" i="3"/>
  <c r="AT64" i="3"/>
  <c r="AU64" i="3"/>
  <c r="AT65" i="3"/>
  <c r="AU65" i="3"/>
  <c r="AT66" i="3"/>
  <c r="AU66" i="3"/>
  <c r="AT67" i="3"/>
  <c r="AU67" i="3"/>
  <c r="AT68" i="3"/>
  <c r="AU68" i="3"/>
  <c r="AT69" i="3"/>
  <c r="AU69" i="3"/>
  <c r="AT70" i="3"/>
  <c r="AU70" i="3"/>
  <c r="AT71" i="3"/>
  <c r="AU71" i="3"/>
  <c r="AT72" i="3"/>
  <c r="AU72" i="3"/>
  <c r="AT73" i="3"/>
  <c r="AU73" i="3"/>
  <c r="AT74" i="3"/>
  <c r="AU74" i="3"/>
  <c r="AT75" i="3"/>
  <c r="AU75" i="3"/>
  <c r="AT76" i="3"/>
  <c r="AU76" i="3"/>
  <c r="AT77" i="3"/>
  <c r="AU77" i="3"/>
  <c r="AT78" i="3"/>
  <c r="AU78" i="3"/>
  <c r="AT79" i="3"/>
  <c r="AU79" i="3"/>
  <c r="AT80" i="3"/>
  <c r="AU80" i="3"/>
  <c r="AT81" i="3"/>
  <c r="AU81" i="3"/>
  <c r="AT5" i="3"/>
  <c r="DU5" i="3" s="1"/>
  <c r="AU5" i="3"/>
  <c r="AT6" i="3"/>
  <c r="AU6" i="3"/>
  <c r="AT7" i="3"/>
  <c r="AU7" i="3"/>
  <c r="AU4" i="3"/>
  <c r="AT4" i="3"/>
  <c r="DU4" i="3" s="1"/>
  <c r="AR97" i="3"/>
  <c r="AS97" i="3"/>
  <c r="AR93" i="3"/>
  <c r="AS93" i="3"/>
  <c r="AR94" i="3"/>
  <c r="AS94" i="3"/>
  <c r="AR86" i="3"/>
  <c r="AS86" i="3"/>
  <c r="AR87" i="3"/>
  <c r="AS87" i="3"/>
  <c r="AR88" i="3"/>
  <c r="AS88" i="3"/>
  <c r="AR89" i="3"/>
  <c r="AS89" i="3"/>
  <c r="AR90" i="3"/>
  <c r="AS90" i="3"/>
  <c r="AS96" i="3"/>
  <c r="AR96" i="3"/>
  <c r="AS92" i="3"/>
  <c r="AR92" i="3"/>
  <c r="AS85" i="3"/>
  <c r="AR85" i="3"/>
  <c r="AS83" i="3"/>
  <c r="AR83" i="3"/>
  <c r="AR10" i="3"/>
  <c r="AS10" i="3"/>
  <c r="AR11" i="3"/>
  <c r="AS11" i="3"/>
  <c r="AR12" i="3"/>
  <c r="AS12" i="3"/>
  <c r="AR13" i="3"/>
  <c r="AS13" i="3"/>
  <c r="AR14" i="3"/>
  <c r="AS14" i="3"/>
  <c r="AR15" i="3"/>
  <c r="AS15" i="3"/>
  <c r="AR16" i="3"/>
  <c r="AS16" i="3"/>
  <c r="AR17" i="3"/>
  <c r="AS17" i="3"/>
  <c r="AR18" i="3"/>
  <c r="AS18" i="3"/>
  <c r="AR19" i="3"/>
  <c r="AS19" i="3"/>
  <c r="AR20" i="3"/>
  <c r="AS20" i="3"/>
  <c r="AR21" i="3"/>
  <c r="AS21" i="3"/>
  <c r="AR22" i="3"/>
  <c r="AS22" i="3"/>
  <c r="AR23" i="3"/>
  <c r="AS23" i="3"/>
  <c r="AR24" i="3"/>
  <c r="AS24" i="3"/>
  <c r="AR25" i="3"/>
  <c r="AS25" i="3"/>
  <c r="AR26" i="3"/>
  <c r="AS26" i="3"/>
  <c r="AR27" i="3"/>
  <c r="AS27" i="3"/>
  <c r="AR28" i="3"/>
  <c r="AS28" i="3"/>
  <c r="AR29" i="3"/>
  <c r="AS29" i="3"/>
  <c r="AR30" i="3"/>
  <c r="AS30" i="3"/>
  <c r="AR31" i="3"/>
  <c r="AS31" i="3"/>
  <c r="AR32" i="3"/>
  <c r="AS32" i="3"/>
  <c r="AR33" i="3"/>
  <c r="AS33" i="3"/>
  <c r="AR34" i="3"/>
  <c r="AS34" i="3"/>
  <c r="AR35" i="3"/>
  <c r="AS35" i="3"/>
  <c r="AR36" i="3"/>
  <c r="AS36" i="3"/>
  <c r="AR37" i="3"/>
  <c r="AS37" i="3"/>
  <c r="AR38" i="3"/>
  <c r="AS38" i="3"/>
  <c r="AR39" i="3"/>
  <c r="AS39" i="3"/>
  <c r="AR40" i="3"/>
  <c r="AS40" i="3"/>
  <c r="AR41" i="3"/>
  <c r="AS41" i="3"/>
  <c r="AR42" i="3"/>
  <c r="AS42" i="3"/>
  <c r="AR43" i="3"/>
  <c r="AS43" i="3"/>
  <c r="AR44" i="3"/>
  <c r="AS44" i="3"/>
  <c r="AR45" i="3"/>
  <c r="AS45" i="3"/>
  <c r="AR46" i="3"/>
  <c r="AS46" i="3"/>
  <c r="AR47" i="3"/>
  <c r="AS47" i="3"/>
  <c r="AR48" i="3"/>
  <c r="AS48" i="3"/>
  <c r="AR49" i="3"/>
  <c r="AS49" i="3"/>
  <c r="AR50" i="3"/>
  <c r="AS50" i="3"/>
  <c r="AR51" i="3"/>
  <c r="AS51" i="3"/>
  <c r="AR52" i="3"/>
  <c r="AS52" i="3"/>
  <c r="AR53" i="3"/>
  <c r="AS53" i="3"/>
  <c r="AR54" i="3"/>
  <c r="AS54" i="3"/>
  <c r="AR55" i="3"/>
  <c r="AS55" i="3"/>
  <c r="AR56" i="3"/>
  <c r="AS56" i="3"/>
  <c r="AR57" i="3"/>
  <c r="AS57" i="3"/>
  <c r="AR58" i="3"/>
  <c r="AS58" i="3"/>
  <c r="AR59" i="3"/>
  <c r="AS59" i="3"/>
  <c r="AR60" i="3"/>
  <c r="AS60" i="3"/>
  <c r="AR61" i="3"/>
  <c r="AS61" i="3"/>
  <c r="AR62" i="3"/>
  <c r="AS62" i="3"/>
  <c r="AR63" i="3"/>
  <c r="AS63" i="3"/>
  <c r="AR64" i="3"/>
  <c r="AS64" i="3"/>
  <c r="AR65" i="3"/>
  <c r="AS65" i="3"/>
  <c r="AR66" i="3"/>
  <c r="AS66" i="3"/>
  <c r="AR67" i="3"/>
  <c r="AS67" i="3"/>
  <c r="AR68" i="3"/>
  <c r="AS68" i="3"/>
  <c r="AR69" i="3"/>
  <c r="AS69" i="3"/>
  <c r="AR70" i="3"/>
  <c r="AS70" i="3"/>
  <c r="AR71" i="3"/>
  <c r="AS71" i="3"/>
  <c r="AR72" i="3"/>
  <c r="AS72" i="3"/>
  <c r="AR73" i="3"/>
  <c r="AS73" i="3"/>
  <c r="AR74" i="3"/>
  <c r="AS74" i="3"/>
  <c r="AR75" i="3"/>
  <c r="AS75" i="3"/>
  <c r="AR76" i="3"/>
  <c r="AS76" i="3"/>
  <c r="AR77" i="3"/>
  <c r="AS77" i="3"/>
  <c r="AR78" i="3"/>
  <c r="AS78" i="3"/>
  <c r="AR79" i="3"/>
  <c r="AS79" i="3"/>
  <c r="AR80" i="3"/>
  <c r="AS80" i="3"/>
  <c r="AR81" i="3"/>
  <c r="AS81" i="3"/>
  <c r="AR5" i="3"/>
  <c r="AS5" i="3"/>
  <c r="AR6" i="3"/>
  <c r="AS6" i="3"/>
  <c r="AR7" i="3"/>
  <c r="AS7" i="3"/>
  <c r="AS4" i="3"/>
  <c r="AR4" i="3"/>
  <c r="AP97" i="3"/>
  <c r="AQ97" i="3"/>
  <c r="AP93" i="3"/>
  <c r="AQ93" i="3"/>
  <c r="AP94" i="3"/>
  <c r="AQ94" i="3"/>
  <c r="AP86" i="3"/>
  <c r="AQ86" i="3"/>
  <c r="AP87" i="3"/>
  <c r="AQ87" i="3"/>
  <c r="AP88" i="3"/>
  <c r="AQ88" i="3"/>
  <c r="AP89" i="3"/>
  <c r="AQ89" i="3"/>
  <c r="AP90" i="3"/>
  <c r="AQ90" i="3"/>
  <c r="AQ96" i="3"/>
  <c r="AP96" i="3"/>
  <c r="AQ92" i="3"/>
  <c r="AP92" i="3"/>
  <c r="AQ85" i="3"/>
  <c r="AP85" i="3"/>
  <c r="AQ83" i="3"/>
  <c r="AP83" i="3"/>
  <c r="AP52" i="3"/>
  <c r="AQ52" i="3"/>
  <c r="AP53" i="3"/>
  <c r="AQ53" i="3"/>
  <c r="AP54" i="3"/>
  <c r="AQ54" i="3"/>
  <c r="AP55" i="3"/>
  <c r="AQ55" i="3"/>
  <c r="AP56" i="3"/>
  <c r="AQ56" i="3"/>
  <c r="AP57" i="3"/>
  <c r="AQ57" i="3"/>
  <c r="AP58" i="3"/>
  <c r="AQ58" i="3"/>
  <c r="AP59" i="3"/>
  <c r="AQ59" i="3"/>
  <c r="AP60" i="3"/>
  <c r="AQ60" i="3"/>
  <c r="AP61" i="3"/>
  <c r="AQ61" i="3"/>
  <c r="AP62" i="3"/>
  <c r="AQ62" i="3"/>
  <c r="AP63" i="3"/>
  <c r="AQ63" i="3"/>
  <c r="AP64" i="3"/>
  <c r="AQ64" i="3"/>
  <c r="AP65" i="3"/>
  <c r="AQ65" i="3"/>
  <c r="AP66" i="3"/>
  <c r="AQ66" i="3"/>
  <c r="AP67" i="3"/>
  <c r="AQ67" i="3"/>
  <c r="AP68" i="3"/>
  <c r="AQ68" i="3"/>
  <c r="AP69" i="3"/>
  <c r="AQ69" i="3"/>
  <c r="AP70" i="3"/>
  <c r="AQ70" i="3"/>
  <c r="AP71" i="3"/>
  <c r="AQ71" i="3"/>
  <c r="AP72" i="3"/>
  <c r="AQ72" i="3"/>
  <c r="AP73" i="3"/>
  <c r="AQ73" i="3"/>
  <c r="AP74" i="3"/>
  <c r="AQ74" i="3"/>
  <c r="AP75" i="3"/>
  <c r="AQ75" i="3"/>
  <c r="AP76" i="3"/>
  <c r="AQ76" i="3"/>
  <c r="AP77" i="3"/>
  <c r="AQ77" i="3"/>
  <c r="AP78" i="3"/>
  <c r="AQ78" i="3"/>
  <c r="AP79" i="3"/>
  <c r="AQ79" i="3"/>
  <c r="AP80" i="3"/>
  <c r="AQ80" i="3"/>
  <c r="AP81" i="3"/>
  <c r="AQ81" i="3"/>
  <c r="AP30" i="3"/>
  <c r="AQ30" i="3"/>
  <c r="AP31" i="3"/>
  <c r="AQ31" i="3"/>
  <c r="AP32" i="3"/>
  <c r="AQ32" i="3"/>
  <c r="AP33" i="3"/>
  <c r="AQ33" i="3"/>
  <c r="AP34" i="3"/>
  <c r="AQ34" i="3"/>
  <c r="AP35" i="3"/>
  <c r="AQ35" i="3"/>
  <c r="AP36" i="3"/>
  <c r="AQ36" i="3"/>
  <c r="AP37" i="3"/>
  <c r="AQ37" i="3"/>
  <c r="AP38" i="3"/>
  <c r="AQ38" i="3"/>
  <c r="AP39" i="3"/>
  <c r="AQ39" i="3"/>
  <c r="AP40" i="3"/>
  <c r="AQ40" i="3"/>
  <c r="AP41" i="3"/>
  <c r="AQ41" i="3"/>
  <c r="AP42" i="3"/>
  <c r="AQ42" i="3"/>
  <c r="AP43" i="3"/>
  <c r="AQ43" i="3"/>
  <c r="AP44" i="3"/>
  <c r="AQ44" i="3"/>
  <c r="AP45" i="3"/>
  <c r="AQ45" i="3"/>
  <c r="AP46" i="3"/>
  <c r="AQ46" i="3"/>
  <c r="AP47" i="3"/>
  <c r="AQ47" i="3"/>
  <c r="AP48" i="3"/>
  <c r="AQ48" i="3"/>
  <c r="AP49" i="3"/>
  <c r="AQ49" i="3"/>
  <c r="AP50" i="3"/>
  <c r="AQ50" i="3"/>
  <c r="AP51" i="3"/>
  <c r="AQ51" i="3"/>
  <c r="AP10" i="3"/>
  <c r="AQ10" i="3"/>
  <c r="AP11" i="3"/>
  <c r="AQ11" i="3"/>
  <c r="AP12" i="3"/>
  <c r="AQ12" i="3"/>
  <c r="AP13" i="3"/>
  <c r="AQ13" i="3"/>
  <c r="AP14" i="3"/>
  <c r="AQ14" i="3"/>
  <c r="AP15" i="3"/>
  <c r="AQ15" i="3"/>
  <c r="AP16" i="3"/>
  <c r="AQ16" i="3"/>
  <c r="AP17" i="3"/>
  <c r="AQ17" i="3"/>
  <c r="AP18" i="3"/>
  <c r="AQ18" i="3"/>
  <c r="AP19" i="3"/>
  <c r="AQ19" i="3"/>
  <c r="AP20" i="3"/>
  <c r="AQ20" i="3"/>
  <c r="AP21" i="3"/>
  <c r="AQ21" i="3"/>
  <c r="AP22" i="3"/>
  <c r="AQ22" i="3"/>
  <c r="AP23" i="3"/>
  <c r="AQ23" i="3"/>
  <c r="AP24" i="3"/>
  <c r="AQ24" i="3"/>
  <c r="AP25" i="3"/>
  <c r="AQ25" i="3"/>
  <c r="AP26" i="3"/>
  <c r="AQ26" i="3"/>
  <c r="AP27" i="3"/>
  <c r="AQ27" i="3"/>
  <c r="AP28" i="3"/>
  <c r="AQ28" i="3"/>
  <c r="AP29" i="3"/>
  <c r="AQ29" i="3"/>
  <c r="AP5" i="3"/>
  <c r="AQ5" i="3"/>
  <c r="DP5" i="3" s="1"/>
  <c r="AP6" i="3"/>
  <c r="AQ6" i="3"/>
  <c r="AP7" i="3"/>
  <c r="AQ7" i="3"/>
  <c r="AQ4" i="3"/>
  <c r="DP4" i="3" s="1"/>
  <c r="AP4" i="3"/>
  <c r="AN93" i="3"/>
  <c r="AO93" i="3"/>
  <c r="AN94" i="3"/>
  <c r="AO94" i="3"/>
  <c r="AN97" i="3"/>
  <c r="AO97" i="3"/>
  <c r="AO96" i="3"/>
  <c r="AN96" i="3"/>
  <c r="AO92" i="3"/>
  <c r="AN92" i="3"/>
  <c r="AN86" i="3"/>
  <c r="AO86" i="3"/>
  <c r="AN87" i="3"/>
  <c r="AO87" i="3"/>
  <c r="AN88" i="3"/>
  <c r="AO88" i="3"/>
  <c r="AN89" i="3"/>
  <c r="AO89" i="3"/>
  <c r="AN90" i="3"/>
  <c r="AO90" i="3"/>
  <c r="AO85" i="3"/>
  <c r="AN85" i="3"/>
  <c r="AO83" i="3"/>
  <c r="AN83" i="3"/>
  <c r="AN10" i="3"/>
  <c r="AO10" i="3"/>
  <c r="AN11" i="3"/>
  <c r="AO11" i="3"/>
  <c r="AN12" i="3"/>
  <c r="AO12" i="3"/>
  <c r="AN13" i="3"/>
  <c r="AO13" i="3"/>
  <c r="AN14" i="3"/>
  <c r="AO14" i="3"/>
  <c r="AN15" i="3"/>
  <c r="AO15" i="3"/>
  <c r="AN16" i="3"/>
  <c r="AO16" i="3"/>
  <c r="AN17" i="3"/>
  <c r="AO17" i="3"/>
  <c r="AN18" i="3"/>
  <c r="AO18" i="3"/>
  <c r="AN19" i="3"/>
  <c r="AO19" i="3"/>
  <c r="AN20" i="3"/>
  <c r="AO20" i="3"/>
  <c r="AN21" i="3"/>
  <c r="AO21" i="3"/>
  <c r="AN22" i="3"/>
  <c r="AO22" i="3"/>
  <c r="AN23" i="3"/>
  <c r="AO23" i="3"/>
  <c r="AN24" i="3"/>
  <c r="AO24" i="3"/>
  <c r="AN25" i="3"/>
  <c r="AO25" i="3"/>
  <c r="AN26" i="3"/>
  <c r="AO26" i="3"/>
  <c r="AN27" i="3"/>
  <c r="AO27" i="3"/>
  <c r="AN28" i="3"/>
  <c r="AO28" i="3"/>
  <c r="AN29" i="3"/>
  <c r="AO29" i="3"/>
  <c r="AN30" i="3"/>
  <c r="AO30" i="3"/>
  <c r="AN31" i="3"/>
  <c r="AO31" i="3"/>
  <c r="AN32" i="3"/>
  <c r="AO32" i="3"/>
  <c r="AN33" i="3"/>
  <c r="AO33" i="3"/>
  <c r="AN34" i="3"/>
  <c r="AO34" i="3"/>
  <c r="AN35" i="3"/>
  <c r="AO35" i="3"/>
  <c r="AN36" i="3"/>
  <c r="AO36" i="3"/>
  <c r="AN37" i="3"/>
  <c r="AO37" i="3"/>
  <c r="AN38" i="3"/>
  <c r="AO38" i="3"/>
  <c r="AN39" i="3"/>
  <c r="AO39" i="3"/>
  <c r="AN40" i="3"/>
  <c r="AO40" i="3"/>
  <c r="AN41" i="3"/>
  <c r="AO41" i="3"/>
  <c r="AN42" i="3"/>
  <c r="AO42" i="3"/>
  <c r="AN43" i="3"/>
  <c r="AO43" i="3"/>
  <c r="AN44" i="3"/>
  <c r="AO44" i="3"/>
  <c r="AN45" i="3"/>
  <c r="AO45" i="3"/>
  <c r="AN46" i="3"/>
  <c r="AO46" i="3"/>
  <c r="AN47" i="3"/>
  <c r="AO47" i="3"/>
  <c r="AN48" i="3"/>
  <c r="AO48" i="3"/>
  <c r="AN49" i="3"/>
  <c r="AO49" i="3"/>
  <c r="AN50" i="3"/>
  <c r="AO50" i="3"/>
  <c r="AN51" i="3"/>
  <c r="AO51" i="3"/>
  <c r="AN52" i="3"/>
  <c r="AO52" i="3"/>
  <c r="AN53" i="3"/>
  <c r="AO53" i="3"/>
  <c r="AN54" i="3"/>
  <c r="AO54" i="3"/>
  <c r="AN55" i="3"/>
  <c r="AO55" i="3"/>
  <c r="AN56" i="3"/>
  <c r="AO56" i="3"/>
  <c r="AN57" i="3"/>
  <c r="AO57" i="3"/>
  <c r="AN58" i="3"/>
  <c r="AO58" i="3"/>
  <c r="AN59" i="3"/>
  <c r="AO59" i="3"/>
  <c r="AN60" i="3"/>
  <c r="AO60" i="3"/>
  <c r="AN61" i="3"/>
  <c r="AO61" i="3"/>
  <c r="AN62" i="3"/>
  <c r="AO62" i="3"/>
  <c r="AN63" i="3"/>
  <c r="AO63" i="3"/>
  <c r="AN64" i="3"/>
  <c r="AO64" i="3"/>
  <c r="AN65" i="3"/>
  <c r="AO65" i="3"/>
  <c r="AN66" i="3"/>
  <c r="AO66" i="3"/>
  <c r="AN67" i="3"/>
  <c r="AO67" i="3"/>
  <c r="AN68" i="3"/>
  <c r="AO68" i="3"/>
  <c r="AN69" i="3"/>
  <c r="AO69" i="3"/>
  <c r="AN70" i="3"/>
  <c r="AO70" i="3"/>
  <c r="AN71" i="3"/>
  <c r="AO71" i="3"/>
  <c r="AN72" i="3"/>
  <c r="AO72" i="3"/>
  <c r="AN73" i="3"/>
  <c r="AO73" i="3"/>
  <c r="AN74" i="3"/>
  <c r="AO74" i="3"/>
  <c r="AN75" i="3"/>
  <c r="AO75" i="3"/>
  <c r="AN76" i="3"/>
  <c r="AO76" i="3"/>
  <c r="AN77" i="3"/>
  <c r="AO77" i="3"/>
  <c r="AN78" i="3"/>
  <c r="AO78" i="3"/>
  <c r="AN79" i="3"/>
  <c r="AO79" i="3"/>
  <c r="AN80" i="3"/>
  <c r="AO80" i="3"/>
  <c r="AN81" i="3"/>
  <c r="AO81" i="3"/>
  <c r="AN5" i="3"/>
  <c r="DM5" i="3" s="1"/>
  <c r="AO5" i="3"/>
  <c r="AN6" i="3"/>
  <c r="AO6" i="3"/>
  <c r="AN7" i="3"/>
  <c r="AO7" i="3"/>
  <c r="AO4" i="3"/>
  <c r="AN4" i="3"/>
  <c r="DM4" i="3" s="1"/>
  <c r="AL97" i="3"/>
  <c r="AM97" i="3"/>
  <c r="AL93" i="3"/>
  <c r="AM93" i="3"/>
  <c r="AL94" i="3"/>
  <c r="AM94" i="3"/>
  <c r="AL86" i="3"/>
  <c r="AM86" i="3"/>
  <c r="AL87" i="3"/>
  <c r="AM87" i="3"/>
  <c r="AL88" i="3"/>
  <c r="AM88" i="3"/>
  <c r="AL89" i="3"/>
  <c r="AM89" i="3"/>
  <c r="AL90" i="3"/>
  <c r="AM90" i="3"/>
  <c r="AM96" i="3"/>
  <c r="AL96" i="3"/>
  <c r="AM92" i="3"/>
  <c r="AL92" i="3"/>
  <c r="AM85" i="3"/>
  <c r="AL85" i="3"/>
  <c r="AM83" i="3"/>
  <c r="AL83" i="3"/>
  <c r="AL74" i="3"/>
  <c r="AM74" i="3"/>
  <c r="AL75" i="3"/>
  <c r="AM75" i="3"/>
  <c r="AL76" i="3"/>
  <c r="AM76" i="3"/>
  <c r="AL77" i="3"/>
  <c r="AM77" i="3"/>
  <c r="AL78" i="3"/>
  <c r="AM78" i="3"/>
  <c r="AL79" i="3"/>
  <c r="AM79" i="3"/>
  <c r="AL80" i="3"/>
  <c r="AM80" i="3"/>
  <c r="AL81" i="3"/>
  <c r="AM81" i="3"/>
  <c r="AL55" i="3"/>
  <c r="AM55" i="3"/>
  <c r="AL56" i="3"/>
  <c r="AM56" i="3"/>
  <c r="AL57" i="3"/>
  <c r="AM57" i="3"/>
  <c r="AL58" i="3"/>
  <c r="AM58" i="3"/>
  <c r="AL59" i="3"/>
  <c r="AM59" i="3"/>
  <c r="AL60" i="3"/>
  <c r="AM60" i="3"/>
  <c r="AL61" i="3"/>
  <c r="AM61" i="3"/>
  <c r="AL62" i="3"/>
  <c r="AM62" i="3"/>
  <c r="AL63" i="3"/>
  <c r="AM63" i="3"/>
  <c r="AL64" i="3"/>
  <c r="AM64" i="3"/>
  <c r="AL65" i="3"/>
  <c r="AM65" i="3"/>
  <c r="AL66" i="3"/>
  <c r="AM66" i="3"/>
  <c r="AL67" i="3"/>
  <c r="AM67" i="3"/>
  <c r="AL68" i="3"/>
  <c r="AM68" i="3"/>
  <c r="AL69" i="3"/>
  <c r="AM69" i="3"/>
  <c r="AL70" i="3"/>
  <c r="AM70" i="3"/>
  <c r="AL71" i="3"/>
  <c r="AM71" i="3"/>
  <c r="AL72" i="3"/>
  <c r="AM72" i="3"/>
  <c r="AL73" i="3"/>
  <c r="AM73" i="3"/>
  <c r="AL31" i="3"/>
  <c r="AM31" i="3"/>
  <c r="AL32" i="3"/>
  <c r="AM32" i="3"/>
  <c r="AL33" i="3"/>
  <c r="AM33" i="3"/>
  <c r="AL34" i="3"/>
  <c r="AM34" i="3"/>
  <c r="AL35" i="3"/>
  <c r="AM35" i="3"/>
  <c r="AL36" i="3"/>
  <c r="AM36" i="3"/>
  <c r="AL37" i="3"/>
  <c r="AM37" i="3"/>
  <c r="AL38" i="3"/>
  <c r="AM38" i="3"/>
  <c r="AL39" i="3"/>
  <c r="AM39" i="3"/>
  <c r="AL40" i="3"/>
  <c r="AM40" i="3"/>
  <c r="AL41" i="3"/>
  <c r="AM41" i="3"/>
  <c r="AL42" i="3"/>
  <c r="AM42" i="3"/>
  <c r="AL43" i="3"/>
  <c r="AM43" i="3"/>
  <c r="AL44" i="3"/>
  <c r="AM44" i="3"/>
  <c r="AL45" i="3"/>
  <c r="AM45" i="3"/>
  <c r="AL46" i="3"/>
  <c r="AM46" i="3"/>
  <c r="AL47" i="3"/>
  <c r="AM47" i="3"/>
  <c r="AL48" i="3"/>
  <c r="AM48" i="3"/>
  <c r="AL49" i="3"/>
  <c r="AM49" i="3"/>
  <c r="AL50" i="3"/>
  <c r="AM50" i="3"/>
  <c r="AL51" i="3"/>
  <c r="AM51" i="3"/>
  <c r="AL52" i="3"/>
  <c r="AM52" i="3"/>
  <c r="AL53" i="3"/>
  <c r="AM53" i="3"/>
  <c r="AL54" i="3"/>
  <c r="AM54" i="3"/>
  <c r="AL20" i="3"/>
  <c r="AM20" i="3"/>
  <c r="AL21" i="3"/>
  <c r="AM21" i="3"/>
  <c r="AL22" i="3"/>
  <c r="AM22" i="3"/>
  <c r="AL23" i="3"/>
  <c r="AM23" i="3"/>
  <c r="AL24" i="3"/>
  <c r="AM24" i="3"/>
  <c r="AL25" i="3"/>
  <c r="AM25" i="3"/>
  <c r="AL26" i="3"/>
  <c r="AM26" i="3"/>
  <c r="AL27" i="3"/>
  <c r="AM27" i="3"/>
  <c r="AL28" i="3"/>
  <c r="AM28" i="3"/>
  <c r="AL29" i="3"/>
  <c r="AM29" i="3"/>
  <c r="AL30" i="3"/>
  <c r="AM30" i="3"/>
  <c r="AL10" i="3"/>
  <c r="AM10" i="3"/>
  <c r="AL11" i="3"/>
  <c r="AM11" i="3"/>
  <c r="AL12" i="3"/>
  <c r="AM12" i="3"/>
  <c r="AL13" i="3"/>
  <c r="AM13" i="3"/>
  <c r="AL14" i="3"/>
  <c r="AM14" i="3"/>
  <c r="AL15" i="3"/>
  <c r="AM15" i="3"/>
  <c r="AL16" i="3"/>
  <c r="AM16" i="3"/>
  <c r="AL17" i="3"/>
  <c r="AM17" i="3"/>
  <c r="AL18" i="3"/>
  <c r="AM18" i="3"/>
  <c r="AL19" i="3"/>
  <c r="AM19" i="3"/>
  <c r="AL5" i="3"/>
  <c r="AM5" i="3"/>
  <c r="DI5" i="3" s="1"/>
  <c r="AL6" i="3"/>
  <c r="AM6" i="3"/>
  <c r="AL7" i="3"/>
  <c r="AM7" i="3"/>
  <c r="AM4" i="3"/>
  <c r="DI4" i="3" s="1"/>
  <c r="AL4" i="3"/>
  <c r="AJ97" i="3"/>
  <c r="AK97" i="3"/>
  <c r="AJ93" i="3"/>
  <c r="AK93" i="3"/>
  <c r="AJ94" i="3"/>
  <c r="AK94" i="3"/>
  <c r="AJ86" i="3"/>
  <c r="AK86" i="3"/>
  <c r="AJ87" i="3"/>
  <c r="AK87" i="3"/>
  <c r="AJ88" i="3"/>
  <c r="AK88" i="3"/>
  <c r="AJ89" i="3"/>
  <c r="AK89" i="3"/>
  <c r="AJ90" i="3"/>
  <c r="AK90" i="3"/>
  <c r="AK96" i="3"/>
  <c r="AJ96" i="3"/>
  <c r="AK92" i="3"/>
  <c r="AJ92" i="3"/>
  <c r="AK85" i="3"/>
  <c r="AJ85" i="3"/>
  <c r="AK83" i="3"/>
  <c r="AJ83" i="3"/>
  <c r="AJ30" i="3"/>
  <c r="AK30" i="3"/>
  <c r="AJ31" i="3"/>
  <c r="AK31" i="3"/>
  <c r="AJ32" i="3"/>
  <c r="AK32" i="3"/>
  <c r="AJ33" i="3"/>
  <c r="AK33" i="3"/>
  <c r="AJ34" i="3"/>
  <c r="AK34" i="3"/>
  <c r="AJ35" i="3"/>
  <c r="AK35" i="3"/>
  <c r="AJ36" i="3"/>
  <c r="AK36" i="3"/>
  <c r="AJ37" i="3"/>
  <c r="AK37" i="3"/>
  <c r="AJ38" i="3"/>
  <c r="AK38" i="3"/>
  <c r="AJ39" i="3"/>
  <c r="AK39" i="3"/>
  <c r="AJ40" i="3"/>
  <c r="AK40" i="3"/>
  <c r="AJ41" i="3"/>
  <c r="AK41" i="3"/>
  <c r="AJ42" i="3"/>
  <c r="AK42" i="3"/>
  <c r="AJ43" i="3"/>
  <c r="AK43" i="3"/>
  <c r="AJ44" i="3"/>
  <c r="AK44" i="3"/>
  <c r="AJ45" i="3"/>
  <c r="AK45" i="3"/>
  <c r="AJ46" i="3"/>
  <c r="AK46" i="3"/>
  <c r="AJ47" i="3"/>
  <c r="AK47" i="3"/>
  <c r="AJ48" i="3"/>
  <c r="AK48" i="3"/>
  <c r="AJ49" i="3"/>
  <c r="AK49" i="3"/>
  <c r="AJ50" i="3"/>
  <c r="AK50" i="3"/>
  <c r="AJ51" i="3"/>
  <c r="AK51" i="3"/>
  <c r="AJ52" i="3"/>
  <c r="AK52" i="3"/>
  <c r="AJ53" i="3"/>
  <c r="AK53" i="3"/>
  <c r="AJ54" i="3"/>
  <c r="AK54" i="3"/>
  <c r="AJ55" i="3"/>
  <c r="AK55" i="3"/>
  <c r="AJ56" i="3"/>
  <c r="AK56" i="3"/>
  <c r="AJ57" i="3"/>
  <c r="AK57" i="3"/>
  <c r="AJ58" i="3"/>
  <c r="AK58" i="3"/>
  <c r="AJ59" i="3"/>
  <c r="AK59" i="3"/>
  <c r="AJ60" i="3"/>
  <c r="AK60" i="3"/>
  <c r="AJ61" i="3"/>
  <c r="AK61" i="3"/>
  <c r="AJ62" i="3"/>
  <c r="AK62" i="3"/>
  <c r="AJ63" i="3"/>
  <c r="AK63" i="3"/>
  <c r="AJ64" i="3"/>
  <c r="AK64" i="3"/>
  <c r="AJ65" i="3"/>
  <c r="AK65" i="3"/>
  <c r="AJ66" i="3"/>
  <c r="AK66" i="3"/>
  <c r="AJ67" i="3"/>
  <c r="AK67" i="3"/>
  <c r="AJ68" i="3"/>
  <c r="AK68" i="3"/>
  <c r="AJ69" i="3"/>
  <c r="AK69" i="3"/>
  <c r="AJ70" i="3"/>
  <c r="AK70" i="3"/>
  <c r="AJ71" i="3"/>
  <c r="AK71" i="3"/>
  <c r="AJ72" i="3"/>
  <c r="AK72" i="3"/>
  <c r="AJ73" i="3"/>
  <c r="AK73" i="3"/>
  <c r="AJ74" i="3"/>
  <c r="AK74" i="3"/>
  <c r="AJ75" i="3"/>
  <c r="AK75" i="3"/>
  <c r="AJ76" i="3"/>
  <c r="AK76" i="3"/>
  <c r="AJ77" i="3"/>
  <c r="AK77" i="3"/>
  <c r="AJ78" i="3"/>
  <c r="AK78" i="3"/>
  <c r="AJ79" i="3"/>
  <c r="AK79" i="3"/>
  <c r="AJ80" i="3"/>
  <c r="AK80" i="3"/>
  <c r="AJ81" i="3"/>
  <c r="AK81" i="3"/>
  <c r="AJ10" i="3"/>
  <c r="AK10" i="3"/>
  <c r="AJ11" i="3"/>
  <c r="AK11" i="3"/>
  <c r="AJ12" i="3"/>
  <c r="AK12" i="3"/>
  <c r="AJ13" i="3"/>
  <c r="AK13" i="3"/>
  <c r="AJ14" i="3"/>
  <c r="AK14" i="3"/>
  <c r="AJ15" i="3"/>
  <c r="AK15" i="3"/>
  <c r="AJ16" i="3"/>
  <c r="AK16" i="3"/>
  <c r="AJ17" i="3"/>
  <c r="AK17" i="3"/>
  <c r="AJ18" i="3"/>
  <c r="AK18" i="3"/>
  <c r="AJ19" i="3"/>
  <c r="AK19" i="3"/>
  <c r="AJ20" i="3"/>
  <c r="AK20" i="3"/>
  <c r="AJ21" i="3"/>
  <c r="AK21" i="3"/>
  <c r="AJ22" i="3"/>
  <c r="AK22" i="3"/>
  <c r="AJ23" i="3"/>
  <c r="AK23" i="3"/>
  <c r="AJ24" i="3"/>
  <c r="AK24" i="3"/>
  <c r="AJ25" i="3"/>
  <c r="AK25" i="3"/>
  <c r="AJ26" i="3"/>
  <c r="AK26" i="3"/>
  <c r="AJ27" i="3"/>
  <c r="AK27" i="3"/>
  <c r="AJ28" i="3"/>
  <c r="AK28" i="3"/>
  <c r="AJ29" i="3"/>
  <c r="AK29" i="3"/>
  <c r="AJ5" i="3"/>
  <c r="DC5" i="3" s="1"/>
  <c r="AK5" i="3"/>
  <c r="DF5" i="3" s="1"/>
  <c r="AJ6" i="3"/>
  <c r="AK6" i="3"/>
  <c r="AJ7" i="3"/>
  <c r="AK7" i="3"/>
  <c r="AK4" i="3"/>
  <c r="DF4" i="3" s="1"/>
  <c r="AJ4" i="3"/>
  <c r="DC4" i="3" s="1"/>
  <c r="AH97" i="3"/>
  <c r="AI97" i="3"/>
  <c r="AI96" i="3"/>
  <c r="AH96" i="3"/>
  <c r="AH93" i="3"/>
  <c r="AI93" i="3"/>
  <c r="AH94" i="3"/>
  <c r="AI94" i="3"/>
  <c r="AH86" i="3"/>
  <c r="AI86" i="3"/>
  <c r="AH87" i="3"/>
  <c r="AI87" i="3"/>
  <c r="AH88" i="3"/>
  <c r="AI88" i="3"/>
  <c r="AH89" i="3"/>
  <c r="AI89" i="3"/>
  <c r="AH90" i="3"/>
  <c r="AI90" i="3"/>
  <c r="AI92" i="3"/>
  <c r="AH92" i="3"/>
  <c r="AI85" i="3"/>
  <c r="AH85" i="3"/>
  <c r="AI83" i="3"/>
  <c r="AH83" i="3"/>
  <c r="AH29" i="3"/>
  <c r="AI29" i="3"/>
  <c r="AH30" i="3"/>
  <c r="AI30" i="3"/>
  <c r="AH31" i="3"/>
  <c r="AI31" i="3"/>
  <c r="AH32" i="3"/>
  <c r="AI32" i="3"/>
  <c r="AH33" i="3"/>
  <c r="AI33" i="3"/>
  <c r="AH34" i="3"/>
  <c r="AI34" i="3"/>
  <c r="AH35" i="3"/>
  <c r="AI35" i="3"/>
  <c r="AH36" i="3"/>
  <c r="AI36" i="3"/>
  <c r="AH37" i="3"/>
  <c r="AI37" i="3"/>
  <c r="AH38" i="3"/>
  <c r="AI38" i="3"/>
  <c r="AH39" i="3"/>
  <c r="AI39" i="3"/>
  <c r="AH40" i="3"/>
  <c r="AI40" i="3"/>
  <c r="AH41" i="3"/>
  <c r="AI41" i="3"/>
  <c r="AH42" i="3"/>
  <c r="AI42" i="3"/>
  <c r="AH43" i="3"/>
  <c r="AI43" i="3"/>
  <c r="AH44" i="3"/>
  <c r="AI44" i="3"/>
  <c r="AH45" i="3"/>
  <c r="AI45" i="3"/>
  <c r="AH46" i="3"/>
  <c r="AI46" i="3"/>
  <c r="AH47" i="3"/>
  <c r="AI47" i="3"/>
  <c r="AH48" i="3"/>
  <c r="AI48" i="3"/>
  <c r="AH49" i="3"/>
  <c r="AI49" i="3"/>
  <c r="AH50" i="3"/>
  <c r="AI50" i="3"/>
  <c r="AH51" i="3"/>
  <c r="AI51" i="3"/>
  <c r="AH52" i="3"/>
  <c r="AI52" i="3"/>
  <c r="AH53" i="3"/>
  <c r="AI53" i="3"/>
  <c r="AH54" i="3"/>
  <c r="AI54" i="3"/>
  <c r="AH55" i="3"/>
  <c r="AI55" i="3"/>
  <c r="AH56" i="3"/>
  <c r="AI56" i="3"/>
  <c r="AH57" i="3"/>
  <c r="AI57" i="3"/>
  <c r="AH58" i="3"/>
  <c r="AI58" i="3"/>
  <c r="AH59" i="3"/>
  <c r="AI59" i="3"/>
  <c r="AH60" i="3"/>
  <c r="AI60" i="3"/>
  <c r="AH61" i="3"/>
  <c r="AI61" i="3"/>
  <c r="AH62" i="3"/>
  <c r="AI62" i="3"/>
  <c r="AH63" i="3"/>
  <c r="AI63" i="3"/>
  <c r="AH64" i="3"/>
  <c r="AI64" i="3"/>
  <c r="AH65" i="3"/>
  <c r="AI65" i="3"/>
  <c r="AH66" i="3"/>
  <c r="AI66" i="3"/>
  <c r="AH67" i="3"/>
  <c r="AI67" i="3"/>
  <c r="AH68" i="3"/>
  <c r="AI68" i="3"/>
  <c r="AH69" i="3"/>
  <c r="AI69" i="3"/>
  <c r="AH70" i="3"/>
  <c r="AI70" i="3"/>
  <c r="AH71" i="3"/>
  <c r="AI71" i="3"/>
  <c r="AH72" i="3"/>
  <c r="AI72" i="3"/>
  <c r="AH73" i="3"/>
  <c r="AI73" i="3"/>
  <c r="AH74" i="3"/>
  <c r="AI74" i="3"/>
  <c r="AH75" i="3"/>
  <c r="AI75" i="3"/>
  <c r="AH76" i="3"/>
  <c r="AI76" i="3"/>
  <c r="AH77" i="3"/>
  <c r="AI77" i="3"/>
  <c r="AH78" i="3"/>
  <c r="AI78" i="3"/>
  <c r="AH79" i="3"/>
  <c r="AI79" i="3"/>
  <c r="AH80" i="3"/>
  <c r="AI80" i="3"/>
  <c r="AH81" i="3"/>
  <c r="AI81" i="3"/>
  <c r="AH10" i="3"/>
  <c r="AI10" i="3"/>
  <c r="AH11" i="3"/>
  <c r="AI11" i="3"/>
  <c r="AH12" i="3"/>
  <c r="AI12" i="3"/>
  <c r="AH13" i="3"/>
  <c r="AI13" i="3"/>
  <c r="AH14" i="3"/>
  <c r="AI14" i="3"/>
  <c r="AH15" i="3"/>
  <c r="AI15" i="3"/>
  <c r="AH16" i="3"/>
  <c r="AI16" i="3"/>
  <c r="AH17" i="3"/>
  <c r="AI17" i="3"/>
  <c r="AH18" i="3"/>
  <c r="AI18" i="3"/>
  <c r="AH19" i="3"/>
  <c r="AI19" i="3"/>
  <c r="AH20" i="3"/>
  <c r="AI20" i="3"/>
  <c r="AH21" i="3"/>
  <c r="AI21" i="3"/>
  <c r="AH22" i="3"/>
  <c r="AI22" i="3"/>
  <c r="AH23" i="3"/>
  <c r="AI23" i="3"/>
  <c r="AH24" i="3"/>
  <c r="AI24" i="3"/>
  <c r="AH25" i="3"/>
  <c r="AI25" i="3"/>
  <c r="AH26" i="3"/>
  <c r="AI26" i="3"/>
  <c r="AH27" i="3"/>
  <c r="AI27" i="3"/>
  <c r="AH28" i="3"/>
  <c r="AI28" i="3"/>
  <c r="AH5" i="3"/>
  <c r="AI5" i="3"/>
  <c r="AH6" i="3"/>
  <c r="AI6" i="3"/>
  <c r="AH7" i="3"/>
  <c r="AI7" i="3"/>
  <c r="AI4" i="3"/>
  <c r="AH4" i="3"/>
  <c r="AF97" i="3"/>
  <c r="AG97" i="3"/>
  <c r="AG96" i="3"/>
  <c r="AF96" i="3"/>
  <c r="AF93" i="3"/>
  <c r="AG93" i="3"/>
  <c r="AF94" i="3"/>
  <c r="AG94" i="3"/>
  <c r="AF86" i="3"/>
  <c r="AG86" i="3"/>
  <c r="AF87" i="3"/>
  <c r="AG87" i="3"/>
  <c r="AF88" i="3"/>
  <c r="AG88" i="3"/>
  <c r="AF89" i="3"/>
  <c r="AG89" i="3"/>
  <c r="AF90" i="3"/>
  <c r="AG90" i="3"/>
  <c r="AG92" i="3"/>
  <c r="AF92" i="3"/>
  <c r="AG85" i="3"/>
  <c r="AF85" i="3"/>
  <c r="AF83" i="3"/>
  <c r="AG83" i="3"/>
  <c r="AF10" i="3"/>
  <c r="AG10" i="3"/>
  <c r="AF11" i="3"/>
  <c r="AG11" i="3"/>
  <c r="AF12" i="3"/>
  <c r="AG12" i="3"/>
  <c r="AF13" i="3"/>
  <c r="AG13" i="3"/>
  <c r="AF14" i="3"/>
  <c r="AG14" i="3"/>
  <c r="AF15" i="3"/>
  <c r="AG15" i="3"/>
  <c r="AF16" i="3"/>
  <c r="AG16" i="3"/>
  <c r="AF17" i="3"/>
  <c r="AG17" i="3"/>
  <c r="AF18" i="3"/>
  <c r="AG18" i="3"/>
  <c r="AF19" i="3"/>
  <c r="AG19" i="3"/>
  <c r="AF20" i="3"/>
  <c r="AG20" i="3"/>
  <c r="AF21" i="3"/>
  <c r="AG21" i="3"/>
  <c r="AF22" i="3"/>
  <c r="AG22" i="3"/>
  <c r="AF23" i="3"/>
  <c r="AG23" i="3"/>
  <c r="AF24" i="3"/>
  <c r="AG24" i="3"/>
  <c r="AF25" i="3"/>
  <c r="AG25" i="3"/>
  <c r="AF26" i="3"/>
  <c r="AG26" i="3"/>
  <c r="AF27" i="3"/>
  <c r="AG27" i="3"/>
  <c r="AF28" i="3"/>
  <c r="AG28" i="3"/>
  <c r="AF29" i="3"/>
  <c r="AG29" i="3"/>
  <c r="AF30" i="3"/>
  <c r="AG30" i="3"/>
  <c r="AF31" i="3"/>
  <c r="AG31" i="3"/>
  <c r="AF32" i="3"/>
  <c r="AG32" i="3"/>
  <c r="AF33" i="3"/>
  <c r="AG33" i="3"/>
  <c r="AF34" i="3"/>
  <c r="AG34" i="3"/>
  <c r="AF35" i="3"/>
  <c r="AG35" i="3"/>
  <c r="AF36" i="3"/>
  <c r="AG36" i="3"/>
  <c r="AF37" i="3"/>
  <c r="AG37" i="3"/>
  <c r="AF38" i="3"/>
  <c r="AG38" i="3"/>
  <c r="AF39" i="3"/>
  <c r="AG39" i="3"/>
  <c r="AF40" i="3"/>
  <c r="AG40" i="3"/>
  <c r="AF41" i="3"/>
  <c r="AG41" i="3"/>
  <c r="AF42" i="3"/>
  <c r="AG42" i="3"/>
  <c r="AF43" i="3"/>
  <c r="AG43" i="3"/>
  <c r="AF44" i="3"/>
  <c r="AG44" i="3"/>
  <c r="AF45" i="3"/>
  <c r="AG45" i="3"/>
  <c r="AF46" i="3"/>
  <c r="AG46" i="3"/>
  <c r="AF47" i="3"/>
  <c r="AG47" i="3"/>
  <c r="AF48" i="3"/>
  <c r="AG48" i="3"/>
  <c r="AF49" i="3"/>
  <c r="AG49" i="3"/>
  <c r="AF50" i="3"/>
  <c r="AG50" i="3"/>
  <c r="AF51" i="3"/>
  <c r="AG51" i="3"/>
  <c r="AF52" i="3"/>
  <c r="AG52" i="3"/>
  <c r="AF53" i="3"/>
  <c r="AG53" i="3"/>
  <c r="AF54" i="3"/>
  <c r="AG54" i="3"/>
  <c r="AF55" i="3"/>
  <c r="AG55" i="3"/>
  <c r="AF56" i="3"/>
  <c r="AG56" i="3"/>
  <c r="AF57" i="3"/>
  <c r="AG57" i="3"/>
  <c r="AF58" i="3"/>
  <c r="AG58" i="3"/>
  <c r="AF59" i="3"/>
  <c r="AG59" i="3"/>
  <c r="AF60" i="3"/>
  <c r="AG60" i="3"/>
  <c r="AF61" i="3"/>
  <c r="AG61" i="3"/>
  <c r="AF62" i="3"/>
  <c r="AG62" i="3"/>
  <c r="AF63" i="3"/>
  <c r="AG63" i="3"/>
  <c r="AF64" i="3"/>
  <c r="AG64" i="3"/>
  <c r="AF65" i="3"/>
  <c r="AG65" i="3"/>
  <c r="AF66" i="3"/>
  <c r="AG66" i="3"/>
  <c r="AF67" i="3"/>
  <c r="AG67" i="3"/>
  <c r="AF68" i="3"/>
  <c r="AG68" i="3"/>
  <c r="AF69" i="3"/>
  <c r="AG69" i="3"/>
  <c r="AF70" i="3"/>
  <c r="AG70" i="3"/>
  <c r="AF71" i="3"/>
  <c r="AG71" i="3"/>
  <c r="AF72" i="3"/>
  <c r="AG72" i="3"/>
  <c r="AF73" i="3"/>
  <c r="AG73" i="3"/>
  <c r="AF74" i="3"/>
  <c r="AG74" i="3"/>
  <c r="AF75" i="3"/>
  <c r="AG75" i="3"/>
  <c r="AF76" i="3"/>
  <c r="AG76" i="3"/>
  <c r="AF77" i="3"/>
  <c r="AG77" i="3"/>
  <c r="AF78" i="3"/>
  <c r="AG78" i="3"/>
  <c r="AF79" i="3"/>
  <c r="AG79" i="3"/>
  <c r="AF80" i="3"/>
  <c r="AG80" i="3"/>
  <c r="AF81" i="3"/>
  <c r="AG81" i="3"/>
  <c r="AF5" i="3"/>
  <c r="AG5" i="3"/>
  <c r="DA5" i="3" s="1"/>
  <c r="AF6" i="3"/>
  <c r="AG6" i="3"/>
  <c r="DA6" i="3" s="1"/>
  <c r="AF7" i="3"/>
  <c r="AG7" i="3"/>
  <c r="AG4" i="3"/>
  <c r="DA4" i="3" s="1"/>
  <c r="AF4" i="3"/>
  <c r="AD97" i="3"/>
  <c r="AE97" i="3"/>
  <c r="AD93" i="3"/>
  <c r="AE93" i="3"/>
  <c r="AD94" i="3"/>
  <c r="AE94" i="3"/>
  <c r="AD86" i="3"/>
  <c r="AE86" i="3"/>
  <c r="AD87" i="3"/>
  <c r="AE87" i="3"/>
  <c r="AD88" i="3"/>
  <c r="AE88" i="3"/>
  <c r="AD89" i="3"/>
  <c r="AE89" i="3"/>
  <c r="AD90" i="3"/>
  <c r="AE90" i="3"/>
  <c r="AE96" i="3"/>
  <c r="AD96" i="3"/>
  <c r="AE92" i="3"/>
  <c r="AD92" i="3"/>
  <c r="AE85" i="3"/>
  <c r="AD85" i="3"/>
  <c r="AE83" i="3"/>
  <c r="AD83" i="3"/>
  <c r="AD10" i="3"/>
  <c r="AE10" i="3"/>
  <c r="AD11" i="3"/>
  <c r="AE11" i="3"/>
  <c r="AD12" i="3"/>
  <c r="AE12" i="3"/>
  <c r="AD13" i="3"/>
  <c r="AE13" i="3"/>
  <c r="AD14" i="3"/>
  <c r="AE14" i="3"/>
  <c r="AD15" i="3"/>
  <c r="AE15" i="3"/>
  <c r="AD16" i="3"/>
  <c r="AE16" i="3"/>
  <c r="AD17" i="3"/>
  <c r="AE17" i="3"/>
  <c r="AD18" i="3"/>
  <c r="AE18" i="3"/>
  <c r="AD19" i="3"/>
  <c r="AE19" i="3"/>
  <c r="AD20" i="3"/>
  <c r="AE20" i="3"/>
  <c r="AD21" i="3"/>
  <c r="AE21" i="3"/>
  <c r="AD22" i="3"/>
  <c r="AE22" i="3"/>
  <c r="AD23" i="3"/>
  <c r="AE23" i="3"/>
  <c r="AD24" i="3"/>
  <c r="AE24" i="3"/>
  <c r="AD25" i="3"/>
  <c r="AE25" i="3"/>
  <c r="AD26" i="3"/>
  <c r="AE26" i="3"/>
  <c r="AD27" i="3"/>
  <c r="AE27" i="3"/>
  <c r="AD28" i="3"/>
  <c r="AE28" i="3"/>
  <c r="AD29" i="3"/>
  <c r="AE29" i="3"/>
  <c r="AD30" i="3"/>
  <c r="AE30" i="3"/>
  <c r="AD31" i="3"/>
  <c r="AE31" i="3"/>
  <c r="AD32" i="3"/>
  <c r="AE32" i="3"/>
  <c r="AD33" i="3"/>
  <c r="AE33" i="3"/>
  <c r="AD34" i="3"/>
  <c r="AE34" i="3"/>
  <c r="AD35" i="3"/>
  <c r="AE35" i="3"/>
  <c r="AD36" i="3"/>
  <c r="AE36" i="3"/>
  <c r="AD37" i="3"/>
  <c r="AE37" i="3"/>
  <c r="AD38" i="3"/>
  <c r="AE38" i="3"/>
  <c r="AD39" i="3"/>
  <c r="AE39" i="3"/>
  <c r="AD40" i="3"/>
  <c r="AE40" i="3"/>
  <c r="AD41" i="3"/>
  <c r="AE41" i="3"/>
  <c r="AD42" i="3"/>
  <c r="AE42" i="3"/>
  <c r="AD43" i="3"/>
  <c r="AE43" i="3"/>
  <c r="AD44" i="3"/>
  <c r="AE44" i="3"/>
  <c r="AD45" i="3"/>
  <c r="AE45" i="3"/>
  <c r="AD46" i="3"/>
  <c r="AE46" i="3"/>
  <c r="AD47" i="3"/>
  <c r="AE47" i="3"/>
  <c r="AD48" i="3"/>
  <c r="AE48" i="3"/>
  <c r="AD49" i="3"/>
  <c r="AE49" i="3"/>
  <c r="AD50" i="3"/>
  <c r="AE50" i="3"/>
  <c r="AD51" i="3"/>
  <c r="AE51" i="3"/>
  <c r="AD52" i="3"/>
  <c r="AE52" i="3"/>
  <c r="AD53" i="3"/>
  <c r="AE53" i="3"/>
  <c r="AD54" i="3"/>
  <c r="AE54" i="3"/>
  <c r="AD55" i="3"/>
  <c r="AE55" i="3"/>
  <c r="AD56" i="3"/>
  <c r="AE56" i="3"/>
  <c r="AD57" i="3"/>
  <c r="AE57" i="3"/>
  <c r="AD58" i="3"/>
  <c r="AE58" i="3"/>
  <c r="AD59" i="3"/>
  <c r="AE59" i="3"/>
  <c r="AD60" i="3"/>
  <c r="AE60" i="3"/>
  <c r="AD61" i="3"/>
  <c r="AE61" i="3"/>
  <c r="AD62" i="3"/>
  <c r="AE62" i="3"/>
  <c r="AD63" i="3"/>
  <c r="AE63" i="3"/>
  <c r="AD64" i="3"/>
  <c r="AE64" i="3"/>
  <c r="AD65" i="3"/>
  <c r="AE65" i="3"/>
  <c r="AD66" i="3"/>
  <c r="AE66" i="3"/>
  <c r="AD67" i="3"/>
  <c r="AE67" i="3"/>
  <c r="AD68" i="3"/>
  <c r="AE68" i="3"/>
  <c r="AD69" i="3"/>
  <c r="AE69" i="3"/>
  <c r="AD70" i="3"/>
  <c r="AE70" i="3"/>
  <c r="AD71" i="3"/>
  <c r="AE71" i="3"/>
  <c r="AD72" i="3"/>
  <c r="AE72" i="3"/>
  <c r="AD73" i="3"/>
  <c r="AE73" i="3"/>
  <c r="AD74" i="3"/>
  <c r="AE74" i="3"/>
  <c r="AD75" i="3"/>
  <c r="AE75" i="3"/>
  <c r="AD76" i="3"/>
  <c r="AE76" i="3"/>
  <c r="AD77" i="3"/>
  <c r="AE77" i="3"/>
  <c r="AD78" i="3"/>
  <c r="AE78" i="3"/>
  <c r="AD79" i="3"/>
  <c r="AE79" i="3"/>
  <c r="AD80" i="3"/>
  <c r="AE80" i="3"/>
  <c r="AD81" i="3"/>
  <c r="AE81" i="3"/>
  <c r="AD5" i="3"/>
  <c r="AE5" i="3"/>
  <c r="AD6" i="3"/>
  <c r="AE6" i="3"/>
  <c r="AD7" i="3"/>
  <c r="AE7" i="3"/>
  <c r="AE4" i="3"/>
  <c r="AD4" i="3"/>
  <c r="AB97" i="3"/>
  <c r="AC97" i="3"/>
  <c r="AB93" i="3"/>
  <c r="AC93" i="3"/>
  <c r="AB94" i="3"/>
  <c r="AC94" i="3"/>
  <c r="AB86" i="3"/>
  <c r="AC86" i="3"/>
  <c r="AB87" i="3"/>
  <c r="AC87" i="3"/>
  <c r="AB88" i="3"/>
  <c r="AC88" i="3"/>
  <c r="AB89" i="3"/>
  <c r="AC89" i="3"/>
  <c r="AB90" i="3"/>
  <c r="AC90" i="3"/>
  <c r="AC96" i="3"/>
  <c r="AB96" i="3"/>
  <c r="AC92" i="3"/>
  <c r="AB92" i="3"/>
  <c r="AC85" i="3"/>
  <c r="AB85" i="3"/>
  <c r="AC83" i="3"/>
  <c r="AB83" i="3"/>
  <c r="AB33" i="3"/>
  <c r="AC33" i="3"/>
  <c r="AB34" i="3"/>
  <c r="AC34" i="3"/>
  <c r="AB35" i="3"/>
  <c r="AC35" i="3"/>
  <c r="AB36" i="3"/>
  <c r="AC36" i="3"/>
  <c r="AB37" i="3"/>
  <c r="AC37" i="3"/>
  <c r="AB38" i="3"/>
  <c r="AC38" i="3"/>
  <c r="AB39" i="3"/>
  <c r="AC39" i="3"/>
  <c r="AB40" i="3"/>
  <c r="AC40" i="3"/>
  <c r="AB41" i="3"/>
  <c r="AC41" i="3"/>
  <c r="AB42" i="3"/>
  <c r="AC42" i="3"/>
  <c r="AB43" i="3"/>
  <c r="AC43" i="3"/>
  <c r="AB44" i="3"/>
  <c r="AC44" i="3"/>
  <c r="AB45" i="3"/>
  <c r="AC45" i="3"/>
  <c r="AB46" i="3"/>
  <c r="AC46" i="3"/>
  <c r="AB47" i="3"/>
  <c r="AC47" i="3"/>
  <c r="AB48" i="3"/>
  <c r="AC48" i="3"/>
  <c r="AB49" i="3"/>
  <c r="AC49" i="3"/>
  <c r="AB50" i="3"/>
  <c r="AC50" i="3"/>
  <c r="AB51" i="3"/>
  <c r="AC51" i="3"/>
  <c r="AB52" i="3"/>
  <c r="AC52" i="3"/>
  <c r="AB53" i="3"/>
  <c r="AC53" i="3"/>
  <c r="AB54" i="3"/>
  <c r="AC54" i="3"/>
  <c r="AB55" i="3"/>
  <c r="AC55" i="3"/>
  <c r="AB56" i="3"/>
  <c r="AC56" i="3"/>
  <c r="AB57" i="3"/>
  <c r="AC57" i="3"/>
  <c r="AB58" i="3"/>
  <c r="AC58" i="3"/>
  <c r="AB59" i="3"/>
  <c r="AC59" i="3"/>
  <c r="AB60" i="3"/>
  <c r="AC60" i="3"/>
  <c r="AB61" i="3"/>
  <c r="AC61" i="3"/>
  <c r="AB62" i="3"/>
  <c r="AC62" i="3"/>
  <c r="AB63" i="3"/>
  <c r="AC63" i="3"/>
  <c r="AB64" i="3"/>
  <c r="AC64" i="3"/>
  <c r="AB65" i="3"/>
  <c r="AC65" i="3"/>
  <c r="AB66" i="3"/>
  <c r="AC66" i="3"/>
  <c r="AB67" i="3"/>
  <c r="AC67" i="3"/>
  <c r="AB68" i="3"/>
  <c r="AC68" i="3"/>
  <c r="AB69" i="3"/>
  <c r="AC69" i="3"/>
  <c r="AB70" i="3"/>
  <c r="AC70" i="3"/>
  <c r="AB71" i="3"/>
  <c r="AC71" i="3"/>
  <c r="AB72" i="3"/>
  <c r="AC72" i="3"/>
  <c r="AB73" i="3"/>
  <c r="AC73" i="3"/>
  <c r="AB74" i="3"/>
  <c r="AC74" i="3"/>
  <c r="AB75" i="3"/>
  <c r="AC75" i="3"/>
  <c r="AB76" i="3"/>
  <c r="AC76" i="3"/>
  <c r="AB77" i="3"/>
  <c r="AC77" i="3"/>
  <c r="AB78" i="3"/>
  <c r="AC78" i="3"/>
  <c r="AB79" i="3"/>
  <c r="AC79" i="3"/>
  <c r="AB80" i="3"/>
  <c r="AC80" i="3"/>
  <c r="AB81" i="3"/>
  <c r="AC81" i="3"/>
  <c r="AB10" i="3"/>
  <c r="AC10" i="3"/>
  <c r="AB11" i="3"/>
  <c r="AC11" i="3"/>
  <c r="AB12" i="3"/>
  <c r="AC12" i="3"/>
  <c r="AB13" i="3"/>
  <c r="AC13" i="3"/>
  <c r="AB14" i="3"/>
  <c r="AC14" i="3"/>
  <c r="AB15" i="3"/>
  <c r="AC15" i="3"/>
  <c r="AB16" i="3"/>
  <c r="AC16" i="3"/>
  <c r="AB17" i="3"/>
  <c r="AC17" i="3"/>
  <c r="AB18" i="3"/>
  <c r="AC18" i="3"/>
  <c r="AB19" i="3"/>
  <c r="AC19" i="3"/>
  <c r="AB20" i="3"/>
  <c r="AC20" i="3"/>
  <c r="AB21" i="3"/>
  <c r="AC21" i="3"/>
  <c r="AB22" i="3"/>
  <c r="AC22" i="3"/>
  <c r="AB23" i="3"/>
  <c r="AC23" i="3"/>
  <c r="AB24" i="3"/>
  <c r="AC24" i="3"/>
  <c r="AB25" i="3"/>
  <c r="AC25" i="3"/>
  <c r="AB26" i="3"/>
  <c r="AC26" i="3"/>
  <c r="AB27" i="3"/>
  <c r="AC27" i="3"/>
  <c r="AB28" i="3"/>
  <c r="AC28" i="3"/>
  <c r="AB29" i="3"/>
  <c r="AC29" i="3"/>
  <c r="AB30" i="3"/>
  <c r="AC30" i="3"/>
  <c r="AB31" i="3"/>
  <c r="AC31" i="3"/>
  <c r="AB32" i="3"/>
  <c r="AC32" i="3"/>
  <c r="AB9" i="3"/>
  <c r="AB5" i="3"/>
  <c r="AC5" i="3"/>
  <c r="AB6" i="3"/>
  <c r="AC6" i="3"/>
  <c r="AB7" i="3"/>
  <c r="AC7" i="3"/>
  <c r="AC4" i="3"/>
  <c r="AB4" i="3"/>
  <c r="Z97" i="3"/>
  <c r="AA97" i="3"/>
  <c r="Z93" i="3"/>
  <c r="AA93" i="3"/>
  <c r="Z94" i="3"/>
  <c r="AA94" i="3"/>
  <c r="Z86" i="3"/>
  <c r="AA86" i="3"/>
  <c r="Z87" i="3"/>
  <c r="AA87" i="3"/>
  <c r="Z88" i="3"/>
  <c r="AA88" i="3"/>
  <c r="Z89" i="3"/>
  <c r="AA89" i="3"/>
  <c r="Z90" i="3"/>
  <c r="AA90" i="3"/>
  <c r="AA96" i="3"/>
  <c r="Z96" i="3"/>
  <c r="AA92" i="3"/>
  <c r="Z92" i="3"/>
  <c r="AA85" i="3"/>
  <c r="Z85" i="3"/>
  <c r="AA83" i="3"/>
  <c r="Z83" i="3"/>
  <c r="Z10" i="3"/>
  <c r="AA10" i="3"/>
  <c r="Z11" i="3"/>
  <c r="AA11" i="3"/>
  <c r="Z12" i="3"/>
  <c r="AA12" i="3"/>
  <c r="Z13" i="3"/>
  <c r="AA13" i="3"/>
  <c r="Z14" i="3"/>
  <c r="AA14" i="3"/>
  <c r="Z15" i="3"/>
  <c r="AA15" i="3"/>
  <c r="Z16" i="3"/>
  <c r="AA16" i="3"/>
  <c r="Z17" i="3"/>
  <c r="AA17" i="3"/>
  <c r="Z18" i="3"/>
  <c r="AA18" i="3"/>
  <c r="Z19" i="3"/>
  <c r="AA19" i="3"/>
  <c r="Z20" i="3"/>
  <c r="AA20" i="3"/>
  <c r="Z21" i="3"/>
  <c r="AA21" i="3"/>
  <c r="Z22" i="3"/>
  <c r="AA22" i="3"/>
  <c r="Z23" i="3"/>
  <c r="AA23" i="3"/>
  <c r="Z24" i="3"/>
  <c r="AA24" i="3"/>
  <c r="Z25" i="3"/>
  <c r="AA25" i="3"/>
  <c r="Z26" i="3"/>
  <c r="AA26" i="3"/>
  <c r="Z27" i="3"/>
  <c r="AA27" i="3"/>
  <c r="Z28" i="3"/>
  <c r="AA28" i="3"/>
  <c r="Z29" i="3"/>
  <c r="AA29" i="3"/>
  <c r="Z30" i="3"/>
  <c r="AA30" i="3"/>
  <c r="Z31" i="3"/>
  <c r="AA31" i="3"/>
  <c r="Z32" i="3"/>
  <c r="AA32" i="3"/>
  <c r="Z33" i="3"/>
  <c r="AA33" i="3"/>
  <c r="Z34" i="3"/>
  <c r="AA34" i="3"/>
  <c r="Z35" i="3"/>
  <c r="AA35" i="3"/>
  <c r="Z36" i="3"/>
  <c r="AA36" i="3"/>
  <c r="Z37" i="3"/>
  <c r="AA37" i="3"/>
  <c r="Z38" i="3"/>
  <c r="AA38" i="3"/>
  <c r="Z39" i="3"/>
  <c r="AA39" i="3"/>
  <c r="Z40" i="3"/>
  <c r="AA40" i="3"/>
  <c r="Z41" i="3"/>
  <c r="AA41" i="3"/>
  <c r="Z42" i="3"/>
  <c r="AA42" i="3"/>
  <c r="Z43" i="3"/>
  <c r="AA43" i="3"/>
  <c r="Z44" i="3"/>
  <c r="AA44" i="3"/>
  <c r="Z45" i="3"/>
  <c r="AA45" i="3"/>
  <c r="Z46" i="3"/>
  <c r="AA46" i="3"/>
  <c r="Z47" i="3"/>
  <c r="AA47" i="3"/>
  <c r="Z48" i="3"/>
  <c r="AA48" i="3"/>
  <c r="Z49" i="3"/>
  <c r="AA49" i="3"/>
  <c r="Z50" i="3"/>
  <c r="AA50" i="3"/>
  <c r="Z51" i="3"/>
  <c r="AA51" i="3"/>
  <c r="Z52" i="3"/>
  <c r="AA52" i="3"/>
  <c r="Z53" i="3"/>
  <c r="AA53" i="3"/>
  <c r="Z54" i="3"/>
  <c r="AA54" i="3"/>
  <c r="Z55" i="3"/>
  <c r="AA55" i="3"/>
  <c r="Z56" i="3"/>
  <c r="AA56" i="3"/>
  <c r="Z57" i="3"/>
  <c r="AA57" i="3"/>
  <c r="Z58" i="3"/>
  <c r="AA58" i="3"/>
  <c r="Z59" i="3"/>
  <c r="AA59" i="3"/>
  <c r="Z60" i="3"/>
  <c r="AA60" i="3"/>
  <c r="Z61" i="3"/>
  <c r="AA61" i="3"/>
  <c r="Z62" i="3"/>
  <c r="AA62" i="3"/>
  <c r="Z63" i="3"/>
  <c r="AA63" i="3"/>
  <c r="Z64" i="3"/>
  <c r="AA64" i="3"/>
  <c r="Z65" i="3"/>
  <c r="AA65" i="3"/>
  <c r="Z66" i="3"/>
  <c r="AA66" i="3"/>
  <c r="Z67" i="3"/>
  <c r="AA67" i="3"/>
  <c r="Z68" i="3"/>
  <c r="AA68" i="3"/>
  <c r="Z69" i="3"/>
  <c r="AA69" i="3"/>
  <c r="Z70" i="3"/>
  <c r="AA70" i="3"/>
  <c r="Z71" i="3"/>
  <c r="AA71" i="3"/>
  <c r="Z72" i="3"/>
  <c r="AA72" i="3"/>
  <c r="Z73" i="3"/>
  <c r="AA73" i="3"/>
  <c r="Z74" i="3"/>
  <c r="AA74" i="3"/>
  <c r="Z75" i="3"/>
  <c r="AA75" i="3"/>
  <c r="Z76" i="3"/>
  <c r="AA76" i="3"/>
  <c r="Z77" i="3"/>
  <c r="AA77" i="3"/>
  <c r="Z78" i="3"/>
  <c r="AA78" i="3"/>
  <c r="Z79" i="3"/>
  <c r="AA79" i="3"/>
  <c r="Z80" i="3"/>
  <c r="AA80" i="3"/>
  <c r="Z81" i="3"/>
  <c r="AA81" i="3"/>
  <c r="AA9" i="3"/>
  <c r="Z9" i="3"/>
  <c r="Z5" i="3"/>
  <c r="AA5" i="3"/>
  <c r="Z6" i="3"/>
  <c r="AA6" i="3"/>
  <c r="Z7" i="3"/>
  <c r="AA7" i="3"/>
  <c r="AA4" i="3"/>
  <c r="Z4" i="3"/>
  <c r="X97" i="3"/>
  <c r="Y97" i="3"/>
  <c r="X93" i="3"/>
  <c r="Y93" i="3"/>
  <c r="X94" i="3"/>
  <c r="Y94" i="3"/>
  <c r="X86" i="3"/>
  <c r="Y86" i="3"/>
  <c r="X87" i="3"/>
  <c r="Y87" i="3"/>
  <c r="X88" i="3"/>
  <c r="Y88" i="3"/>
  <c r="X89" i="3"/>
  <c r="Y89" i="3"/>
  <c r="X90" i="3"/>
  <c r="Y90" i="3"/>
  <c r="Y96" i="3"/>
  <c r="X96" i="3"/>
  <c r="Y92" i="3"/>
  <c r="X92" i="3"/>
  <c r="Y85" i="3"/>
  <c r="X85" i="3"/>
  <c r="Y83" i="3"/>
  <c r="X83" i="3"/>
  <c r="X10" i="3"/>
  <c r="Y10" i="3"/>
  <c r="X11" i="3"/>
  <c r="Y11" i="3"/>
  <c r="X12" i="3"/>
  <c r="Y12" i="3"/>
  <c r="X13" i="3"/>
  <c r="Y13" i="3"/>
  <c r="X14" i="3"/>
  <c r="Y14" i="3"/>
  <c r="X15" i="3"/>
  <c r="Y15" i="3"/>
  <c r="X16" i="3"/>
  <c r="Y16" i="3"/>
  <c r="X17" i="3"/>
  <c r="Y17" i="3"/>
  <c r="X18" i="3"/>
  <c r="Y18" i="3"/>
  <c r="X19" i="3"/>
  <c r="Y19" i="3"/>
  <c r="X20" i="3"/>
  <c r="Y20" i="3"/>
  <c r="X21" i="3"/>
  <c r="Y21" i="3"/>
  <c r="X22" i="3"/>
  <c r="Y22" i="3"/>
  <c r="X23" i="3"/>
  <c r="Y23" i="3"/>
  <c r="X24" i="3"/>
  <c r="Y24" i="3"/>
  <c r="X25" i="3"/>
  <c r="Y25" i="3"/>
  <c r="X26" i="3"/>
  <c r="Y26" i="3"/>
  <c r="X27" i="3"/>
  <c r="Y27" i="3"/>
  <c r="X28" i="3"/>
  <c r="Y28" i="3"/>
  <c r="X29" i="3"/>
  <c r="Y29" i="3"/>
  <c r="X30" i="3"/>
  <c r="Y30" i="3"/>
  <c r="X31" i="3"/>
  <c r="Y31" i="3"/>
  <c r="X32" i="3"/>
  <c r="Y32" i="3"/>
  <c r="X33" i="3"/>
  <c r="Y33" i="3"/>
  <c r="X34" i="3"/>
  <c r="Y34" i="3"/>
  <c r="X35" i="3"/>
  <c r="Y35" i="3"/>
  <c r="X36" i="3"/>
  <c r="Y36" i="3"/>
  <c r="X37" i="3"/>
  <c r="Y37" i="3"/>
  <c r="X38" i="3"/>
  <c r="Y38" i="3"/>
  <c r="X39" i="3"/>
  <c r="Y39" i="3"/>
  <c r="X40" i="3"/>
  <c r="Y40" i="3"/>
  <c r="X41" i="3"/>
  <c r="Y41" i="3"/>
  <c r="X42" i="3"/>
  <c r="Y42" i="3"/>
  <c r="X43" i="3"/>
  <c r="Y43" i="3"/>
  <c r="X44" i="3"/>
  <c r="Y44" i="3"/>
  <c r="X45" i="3"/>
  <c r="Y45" i="3"/>
  <c r="X46" i="3"/>
  <c r="Y46" i="3"/>
  <c r="X47" i="3"/>
  <c r="Y47" i="3"/>
  <c r="X48" i="3"/>
  <c r="Y48" i="3"/>
  <c r="X49" i="3"/>
  <c r="Y49" i="3"/>
  <c r="X50" i="3"/>
  <c r="Y50" i="3"/>
  <c r="X51" i="3"/>
  <c r="Y51" i="3"/>
  <c r="X52" i="3"/>
  <c r="Y52" i="3"/>
  <c r="X53" i="3"/>
  <c r="Y53" i="3"/>
  <c r="X54" i="3"/>
  <c r="Y54" i="3"/>
  <c r="X55" i="3"/>
  <c r="Y55" i="3"/>
  <c r="X56" i="3"/>
  <c r="Y56" i="3"/>
  <c r="X57" i="3"/>
  <c r="Y57" i="3"/>
  <c r="X58" i="3"/>
  <c r="Y58" i="3"/>
  <c r="X59" i="3"/>
  <c r="Y59" i="3"/>
  <c r="X60" i="3"/>
  <c r="Y60" i="3"/>
  <c r="X61" i="3"/>
  <c r="Y61" i="3"/>
  <c r="X62" i="3"/>
  <c r="Y62" i="3"/>
  <c r="X63" i="3"/>
  <c r="Y63" i="3"/>
  <c r="X64" i="3"/>
  <c r="Y64" i="3"/>
  <c r="X65" i="3"/>
  <c r="Y65" i="3"/>
  <c r="X66" i="3"/>
  <c r="Y66" i="3"/>
  <c r="X67" i="3"/>
  <c r="Y67" i="3"/>
  <c r="X68" i="3"/>
  <c r="Y68" i="3"/>
  <c r="X69" i="3"/>
  <c r="Y69" i="3"/>
  <c r="X70" i="3"/>
  <c r="Y70" i="3"/>
  <c r="X71" i="3"/>
  <c r="Y71" i="3"/>
  <c r="X72" i="3"/>
  <c r="Y72" i="3"/>
  <c r="X73" i="3"/>
  <c r="Y73" i="3"/>
  <c r="X74" i="3"/>
  <c r="Y74" i="3"/>
  <c r="X75" i="3"/>
  <c r="Y75" i="3"/>
  <c r="X76" i="3"/>
  <c r="Y76" i="3"/>
  <c r="X77" i="3"/>
  <c r="Y77" i="3"/>
  <c r="X78" i="3"/>
  <c r="Y78" i="3"/>
  <c r="X79" i="3"/>
  <c r="Y79" i="3"/>
  <c r="X80" i="3"/>
  <c r="Y80" i="3"/>
  <c r="X81" i="3"/>
  <c r="Y81" i="3"/>
  <c r="Y9" i="3"/>
  <c r="X9" i="3"/>
  <c r="X5" i="3"/>
  <c r="CL5" i="3" s="1"/>
  <c r="Y5" i="3"/>
  <c r="CP5" i="3" s="1"/>
  <c r="X6" i="3"/>
  <c r="Y6" i="3"/>
  <c r="X7" i="3"/>
  <c r="Y7" i="3"/>
  <c r="Y4" i="3"/>
  <c r="CP4" i="3" s="1"/>
  <c r="X4" i="3"/>
  <c r="CL4" i="3" s="1"/>
  <c r="AO110" i="3"/>
  <c r="AP110" i="3"/>
  <c r="AQ110" i="3"/>
  <c r="AR110" i="3"/>
  <c r="AS110" i="3"/>
  <c r="AT110" i="3"/>
  <c r="AU110" i="3"/>
  <c r="AV110" i="3"/>
  <c r="AW110" i="3"/>
  <c r="AX110" i="3"/>
  <c r="AY110" i="3"/>
  <c r="AZ110" i="3"/>
  <c r="BA110" i="3"/>
  <c r="BB110" i="3"/>
  <c r="AI110" i="3"/>
  <c r="AJ110" i="3"/>
  <c r="AK110" i="3"/>
  <c r="AL110" i="3"/>
  <c r="AM110" i="3"/>
  <c r="AN110" i="3"/>
  <c r="AC110" i="3"/>
  <c r="AD110" i="3"/>
  <c r="AE110" i="3"/>
  <c r="AF110" i="3"/>
  <c r="AG110" i="3"/>
  <c r="AH110" i="3"/>
  <c r="Z110" i="3"/>
  <c r="AA110" i="3"/>
  <c r="AB110" i="3"/>
  <c r="W110" i="3"/>
  <c r="X110" i="3"/>
  <c r="Y110" i="3"/>
  <c r="V110" i="3"/>
  <c r="V93" i="3"/>
  <c r="W93" i="3"/>
  <c r="V94" i="3"/>
  <c r="W94" i="3"/>
  <c r="V97" i="3"/>
  <c r="W97" i="3"/>
  <c r="W96" i="3"/>
  <c r="V96" i="3"/>
  <c r="W92" i="3"/>
  <c r="V92" i="3"/>
  <c r="V86" i="3"/>
  <c r="W86" i="3"/>
  <c r="V87" i="3"/>
  <c r="W87" i="3"/>
  <c r="V88" i="3"/>
  <c r="W88" i="3"/>
  <c r="V89" i="3"/>
  <c r="W89" i="3"/>
  <c r="V90" i="3"/>
  <c r="W90" i="3"/>
  <c r="W85" i="3"/>
  <c r="V85" i="3"/>
  <c r="W83" i="3"/>
  <c r="V83" i="3"/>
  <c r="V10" i="3"/>
  <c r="W10" i="3"/>
  <c r="V11" i="3"/>
  <c r="W11" i="3"/>
  <c r="V12" i="3"/>
  <c r="W12" i="3"/>
  <c r="V13" i="3"/>
  <c r="W13" i="3"/>
  <c r="V14" i="3"/>
  <c r="W14" i="3"/>
  <c r="V15" i="3"/>
  <c r="W15" i="3"/>
  <c r="V16" i="3"/>
  <c r="W16" i="3"/>
  <c r="V17" i="3"/>
  <c r="W17" i="3"/>
  <c r="V18" i="3"/>
  <c r="W18" i="3"/>
  <c r="V19" i="3"/>
  <c r="W19" i="3"/>
  <c r="V20" i="3"/>
  <c r="W20" i="3"/>
  <c r="V21" i="3"/>
  <c r="W21" i="3"/>
  <c r="V22" i="3"/>
  <c r="W22" i="3"/>
  <c r="V23" i="3"/>
  <c r="W23" i="3"/>
  <c r="V24" i="3"/>
  <c r="W24" i="3"/>
  <c r="V25" i="3"/>
  <c r="W25" i="3"/>
  <c r="V26" i="3"/>
  <c r="W26" i="3"/>
  <c r="V27" i="3"/>
  <c r="W27" i="3"/>
  <c r="V28" i="3"/>
  <c r="W28" i="3"/>
  <c r="V29" i="3"/>
  <c r="W29" i="3"/>
  <c r="V30" i="3"/>
  <c r="W30" i="3"/>
  <c r="V31" i="3"/>
  <c r="W31" i="3"/>
  <c r="V32" i="3"/>
  <c r="W32" i="3"/>
  <c r="V33" i="3"/>
  <c r="W33" i="3"/>
  <c r="V34" i="3"/>
  <c r="W34" i="3"/>
  <c r="V35" i="3"/>
  <c r="W35" i="3"/>
  <c r="V36" i="3"/>
  <c r="W36" i="3"/>
  <c r="V37" i="3"/>
  <c r="W37" i="3"/>
  <c r="V38" i="3"/>
  <c r="W38" i="3"/>
  <c r="V39" i="3"/>
  <c r="W39" i="3"/>
  <c r="V40" i="3"/>
  <c r="W40" i="3"/>
  <c r="V41" i="3"/>
  <c r="W41" i="3"/>
  <c r="V42" i="3"/>
  <c r="W42" i="3"/>
  <c r="V43" i="3"/>
  <c r="W43" i="3"/>
  <c r="V44" i="3"/>
  <c r="W44" i="3"/>
  <c r="V45" i="3"/>
  <c r="W45" i="3"/>
  <c r="V46" i="3"/>
  <c r="W46" i="3"/>
  <c r="V47" i="3"/>
  <c r="W47" i="3"/>
  <c r="V48" i="3"/>
  <c r="W48" i="3"/>
  <c r="V49" i="3"/>
  <c r="W49" i="3"/>
  <c r="V50" i="3"/>
  <c r="W50" i="3"/>
  <c r="V51" i="3"/>
  <c r="W51" i="3"/>
  <c r="V52" i="3"/>
  <c r="W52" i="3"/>
  <c r="V53" i="3"/>
  <c r="W53" i="3"/>
  <c r="V54" i="3"/>
  <c r="W54" i="3"/>
  <c r="V55" i="3"/>
  <c r="W55" i="3"/>
  <c r="V56" i="3"/>
  <c r="W56" i="3"/>
  <c r="V57" i="3"/>
  <c r="W57" i="3"/>
  <c r="V58" i="3"/>
  <c r="W58" i="3"/>
  <c r="V59" i="3"/>
  <c r="W59" i="3"/>
  <c r="V60" i="3"/>
  <c r="W60" i="3"/>
  <c r="V61" i="3"/>
  <c r="W61" i="3"/>
  <c r="V62" i="3"/>
  <c r="W62" i="3"/>
  <c r="V63" i="3"/>
  <c r="W63" i="3"/>
  <c r="V64" i="3"/>
  <c r="W64" i="3"/>
  <c r="V65" i="3"/>
  <c r="W65" i="3"/>
  <c r="V66" i="3"/>
  <c r="W66" i="3"/>
  <c r="V67" i="3"/>
  <c r="W67" i="3"/>
  <c r="V68" i="3"/>
  <c r="W68" i="3"/>
  <c r="V69" i="3"/>
  <c r="W69" i="3"/>
  <c r="V70" i="3"/>
  <c r="W70" i="3"/>
  <c r="V71" i="3"/>
  <c r="W71" i="3"/>
  <c r="V72" i="3"/>
  <c r="W72" i="3"/>
  <c r="V73" i="3"/>
  <c r="W73" i="3"/>
  <c r="V74" i="3"/>
  <c r="W74" i="3"/>
  <c r="V75" i="3"/>
  <c r="W75" i="3"/>
  <c r="V76" i="3"/>
  <c r="W76" i="3"/>
  <c r="V77" i="3"/>
  <c r="W77" i="3"/>
  <c r="V78" i="3"/>
  <c r="W78" i="3"/>
  <c r="V79" i="3"/>
  <c r="W79" i="3"/>
  <c r="V80" i="3"/>
  <c r="W80" i="3"/>
  <c r="V81" i="3"/>
  <c r="W81" i="3"/>
  <c r="W9" i="3"/>
  <c r="V9" i="3"/>
  <c r="V5" i="3"/>
  <c r="W5" i="3"/>
  <c r="V6" i="3"/>
  <c r="W6" i="3"/>
  <c r="V7" i="3"/>
  <c r="W7" i="3"/>
  <c r="V4" i="3"/>
  <c r="W4" i="3"/>
  <c r="EE97" i="3"/>
  <c r="EF97" i="3"/>
  <c r="EE93" i="3"/>
  <c r="EF93" i="3"/>
  <c r="EE94" i="3"/>
  <c r="EF94" i="3"/>
  <c r="EE86" i="3"/>
  <c r="EF86" i="3"/>
  <c r="EE87" i="3"/>
  <c r="EF87" i="3"/>
  <c r="EE88" i="3"/>
  <c r="EF88" i="3"/>
  <c r="EE89" i="3"/>
  <c r="EF89" i="3"/>
  <c r="EE90" i="3"/>
  <c r="EF90" i="3"/>
  <c r="EF96" i="3"/>
  <c r="EE96" i="3"/>
  <c r="EF92" i="3"/>
  <c r="EE92" i="3"/>
  <c r="EF85" i="3"/>
  <c r="EE85" i="3"/>
  <c r="EF83" i="3"/>
  <c r="EE83" i="3"/>
  <c r="EE10" i="3"/>
  <c r="EF10" i="3"/>
  <c r="EE11" i="3"/>
  <c r="EF11" i="3"/>
  <c r="EE12" i="3"/>
  <c r="EF12" i="3"/>
  <c r="EE13" i="3"/>
  <c r="EF13" i="3"/>
  <c r="EE14" i="3"/>
  <c r="EF14" i="3"/>
  <c r="EE15" i="3"/>
  <c r="EF15" i="3"/>
  <c r="EE16" i="3"/>
  <c r="EF16" i="3"/>
  <c r="EE17" i="3"/>
  <c r="EF17" i="3"/>
  <c r="EE18" i="3"/>
  <c r="EF18" i="3"/>
  <c r="EE19" i="3"/>
  <c r="EF19" i="3"/>
  <c r="EE20" i="3"/>
  <c r="EF20" i="3"/>
  <c r="EE21" i="3"/>
  <c r="EF21" i="3"/>
  <c r="EE22" i="3"/>
  <c r="EF22" i="3"/>
  <c r="EE23" i="3"/>
  <c r="EF23" i="3"/>
  <c r="EE24" i="3"/>
  <c r="EF24" i="3"/>
  <c r="EE25" i="3"/>
  <c r="EF25" i="3"/>
  <c r="EE26" i="3"/>
  <c r="EF26" i="3"/>
  <c r="EE27" i="3"/>
  <c r="EF27" i="3"/>
  <c r="EE28" i="3"/>
  <c r="EF28" i="3"/>
  <c r="EE29" i="3"/>
  <c r="EF29" i="3"/>
  <c r="EE30" i="3"/>
  <c r="EF30" i="3"/>
  <c r="EE31" i="3"/>
  <c r="EF31" i="3"/>
  <c r="EE32" i="3"/>
  <c r="EF32" i="3"/>
  <c r="EE33" i="3"/>
  <c r="EF33" i="3"/>
  <c r="EE34" i="3"/>
  <c r="EF34" i="3"/>
  <c r="EE35" i="3"/>
  <c r="EF35" i="3"/>
  <c r="EE36" i="3"/>
  <c r="EF36" i="3"/>
  <c r="EE37" i="3"/>
  <c r="EF37" i="3"/>
  <c r="EE38" i="3"/>
  <c r="EF38" i="3"/>
  <c r="EE39" i="3"/>
  <c r="EF39" i="3"/>
  <c r="EE40" i="3"/>
  <c r="EF40" i="3"/>
  <c r="EE41" i="3"/>
  <c r="EF41" i="3"/>
  <c r="EE42" i="3"/>
  <c r="EF42" i="3"/>
  <c r="EE43" i="3"/>
  <c r="EF43" i="3"/>
  <c r="EE44" i="3"/>
  <c r="EF44" i="3"/>
  <c r="EE45" i="3"/>
  <c r="EF45" i="3"/>
  <c r="EE46" i="3"/>
  <c r="EF46" i="3"/>
  <c r="EE47" i="3"/>
  <c r="EF47" i="3"/>
  <c r="EE48" i="3"/>
  <c r="EF48" i="3"/>
  <c r="EE49" i="3"/>
  <c r="EF49" i="3"/>
  <c r="EE50" i="3"/>
  <c r="EF50" i="3"/>
  <c r="EE51" i="3"/>
  <c r="EF51" i="3"/>
  <c r="EE52" i="3"/>
  <c r="EF52" i="3"/>
  <c r="EE53" i="3"/>
  <c r="EF53" i="3"/>
  <c r="EE54" i="3"/>
  <c r="EF54" i="3"/>
  <c r="EE55" i="3"/>
  <c r="EF55" i="3"/>
  <c r="EE56" i="3"/>
  <c r="EF56" i="3"/>
  <c r="EE57" i="3"/>
  <c r="EF57" i="3"/>
  <c r="EE58" i="3"/>
  <c r="EF58" i="3"/>
  <c r="EE59" i="3"/>
  <c r="EF59" i="3"/>
  <c r="EE60" i="3"/>
  <c r="EF60" i="3"/>
  <c r="EE61" i="3"/>
  <c r="EF61" i="3"/>
  <c r="EE62" i="3"/>
  <c r="EF62" i="3"/>
  <c r="EE63" i="3"/>
  <c r="EF63" i="3"/>
  <c r="EE64" i="3"/>
  <c r="EF64" i="3"/>
  <c r="EE65" i="3"/>
  <c r="EF65" i="3"/>
  <c r="EE66" i="3"/>
  <c r="EF66" i="3"/>
  <c r="EE67" i="3"/>
  <c r="EF67" i="3"/>
  <c r="EE68" i="3"/>
  <c r="EF68" i="3"/>
  <c r="EE69" i="3"/>
  <c r="EF69" i="3"/>
  <c r="EE70" i="3"/>
  <c r="EF70" i="3"/>
  <c r="EE71" i="3"/>
  <c r="EF71" i="3"/>
  <c r="EE72" i="3"/>
  <c r="EF72" i="3"/>
  <c r="EE73" i="3"/>
  <c r="EF73" i="3"/>
  <c r="EE74" i="3"/>
  <c r="EF74" i="3"/>
  <c r="EE75" i="3"/>
  <c r="EF75" i="3"/>
  <c r="EE76" i="3"/>
  <c r="EF76" i="3"/>
  <c r="EE77" i="3"/>
  <c r="EF77" i="3"/>
  <c r="EE78" i="3"/>
  <c r="EF78" i="3"/>
  <c r="EE79" i="3"/>
  <c r="EF79" i="3"/>
  <c r="EE80" i="3"/>
  <c r="EF80" i="3"/>
  <c r="EE81" i="3"/>
  <c r="EF81" i="3"/>
  <c r="EF9" i="3"/>
  <c r="EE9" i="3"/>
  <c r="EE5" i="3"/>
  <c r="EF5" i="3"/>
  <c r="EE6" i="3"/>
  <c r="EF6" i="3"/>
  <c r="EE7" i="3"/>
  <c r="EF7" i="3"/>
  <c r="EF4" i="3"/>
  <c r="EE4" i="3"/>
  <c r="EF110" i="3"/>
  <c r="ED110" i="3"/>
  <c r="EE110" i="3"/>
  <c r="EC110" i="3"/>
  <c r="EC93" i="3"/>
  <c r="ED93" i="3"/>
  <c r="EC94" i="3"/>
  <c r="ED94" i="3"/>
  <c r="EC97" i="3"/>
  <c r="ED97" i="3"/>
  <c r="ED96" i="3"/>
  <c r="EC96" i="3"/>
  <c r="ED92" i="3"/>
  <c r="EC92" i="3"/>
  <c r="EC86" i="3"/>
  <c r="ED86" i="3"/>
  <c r="EC87" i="3"/>
  <c r="ED87" i="3"/>
  <c r="EC88" i="3"/>
  <c r="ED88" i="3"/>
  <c r="EC89" i="3"/>
  <c r="ED89" i="3"/>
  <c r="EC90" i="3"/>
  <c r="ED90" i="3"/>
  <c r="ED85" i="3"/>
  <c r="EC85" i="3"/>
  <c r="ED83" i="3"/>
  <c r="EC83" i="3"/>
  <c r="EC29" i="3"/>
  <c r="ED29" i="3"/>
  <c r="EC30" i="3"/>
  <c r="ED30" i="3"/>
  <c r="EC31" i="3"/>
  <c r="ED31" i="3"/>
  <c r="EC32" i="3"/>
  <c r="ED32" i="3"/>
  <c r="EC33" i="3"/>
  <c r="ED33" i="3"/>
  <c r="EC34" i="3"/>
  <c r="ED34" i="3"/>
  <c r="EC35" i="3"/>
  <c r="ED35" i="3"/>
  <c r="EC36" i="3"/>
  <c r="ED36" i="3"/>
  <c r="EC37" i="3"/>
  <c r="ED37" i="3"/>
  <c r="EC38" i="3"/>
  <c r="ED38" i="3"/>
  <c r="EC39" i="3"/>
  <c r="ED39" i="3"/>
  <c r="EC40" i="3"/>
  <c r="ED40" i="3"/>
  <c r="EC41" i="3"/>
  <c r="ED41" i="3"/>
  <c r="EC42" i="3"/>
  <c r="ED42" i="3"/>
  <c r="EC43" i="3"/>
  <c r="ED43" i="3"/>
  <c r="EC44" i="3"/>
  <c r="ED44" i="3"/>
  <c r="EC45" i="3"/>
  <c r="ED45" i="3"/>
  <c r="EC46" i="3"/>
  <c r="ED46" i="3"/>
  <c r="EC47" i="3"/>
  <c r="ED47" i="3"/>
  <c r="EC48" i="3"/>
  <c r="ED48" i="3"/>
  <c r="EC49" i="3"/>
  <c r="ED49" i="3"/>
  <c r="EC50" i="3"/>
  <c r="ED50" i="3"/>
  <c r="EC51" i="3"/>
  <c r="ED51" i="3"/>
  <c r="EC52" i="3"/>
  <c r="ED52" i="3"/>
  <c r="EC53" i="3"/>
  <c r="ED53" i="3"/>
  <c r="EC54" i="3"/>
  <c r="ED54" i="3"/>
  <c r="EC55" i="3"/>
  <c r="ED55" i="3"/>
  <c r="EC56" i="3"/>
  <c r="ED56" i="3"/>
  <c r="EC57" i="3"/>
  <c r="ED57" i="3"/>
  <c r="EC58" i="3"/>
  <c r="ED58" i="3"/>
  <c r="EC59" i="3"/>
  <c r="ED59" i="3"/>
  <c r="EC60" i="3"/>
  <c r="ED60" i="3"/>
  <c r="EC61" i="3"/>
  <c r="ED61" i="3"/>
  <c r="EC62" i="3"/>
  <c r="ED62" i="3"/>
  <c r="EC63" i="3"/>
  <c r="ED63" i="3"/>
  <c r="EC64" i="3"/>
  <c r="ED64" i="3"/>
  <c r="EC65" i="3"/>
  <c r="ED65" i="3"/>
  <c r="EC66" i="3"/>
  <c r="ED66" i="3"/>
  <c r="EC67" i="3"/>
  <c r="ED67" i="3"/>
  <c r="EC68" i="3"/>
  <c r="ED68" i="3"/>
  <c r="EC69" i="3"/>
  <c r="ED69" i="3"/>
  <c r="EC70" i="3"/>
  <c r="ED70" i="3"/>
  <c r="EC71" i="3"/>
  <c r="ED71" i="3"/>
  <c r="EC72" i="3"/>
  <c r="ED72" i="3"/>
  <c r="EC73" i="3"/>
  <c r="ED73" i="3"/>
  <c r="EC74" i="3"/>
  <c r="ED74" i="3"/>
  <c r="EC75" i="3"/>
  <c r="ED75" i="3"/>
  <c r="EC76" i="3"/>
  <c r="ED76" i="3"/>
  <c r="EC77" i="3"/>
  <c r="ED77" i="3"/>
  <c r="EC78" i="3"/>
  <c r="ED78" i="3"/>
  <c r="EC79" i="3"/>
  <c r="ED79" i="3"/>
  <c r="EC80" i="3"/>
  <c r="ED80" i="3"/>
  <c r="EC81" i="3"/>
  <c r="ED81" i="3"/>
  <c r="EC10" i="3"/>
  <c r="ED10" i="3"/>
  <c r="EC11" i="3"/>
  <c r="ED11" i="3"/>
  <c r="EC12" i="3"/>
  <c r="ED12" i="3"/>
  <c r="EC13" i="3"/>
  <c r="ED13" i="3"/>
  <c r="EC14" i="3"/>
  <c r="ED14" i="3"/>
  <c r="EC15" i="3"/>
  <c r="ED15" i="3"/>
  <c r="EC16" i="3"/>
  <c r="ED16" i="3"/>
  <c r="EC17" i="3"/>
  <c r="ED17" i="3"/>
  <c r="EC18" i="3"/>
  <c r="ED18" i="3"/>
  <c r="EC19" i="3"/>
  <c r="ED19" i="3"/>
  <c r="EC20" i="3"/>
  <c r="ED20" i="3"/>
  <c r="EC21" i="3"/>
  <c r="ED21" i="3"/>
  <c r="EC22" i="3"/>
  <c r="ED22" i="3"/>
  <c r="EC23" i="3"/>
  <c r="ED23" i="3"/>
  <c r="EC24" i="3"/>
  <c r="ED24" i="3"/>
  <c r="EC25" i="3"/>
  <c r="ED25" i="3"/>
  <c r="EC26" i="3"/>
  <c r="ED26" i="3"/>
  <c r="EC27" i="3"/>
  <c r="ED27" i="3"/>
  <c r="EC28" i="3"/>
  <c r="ED28" i="3"/>
  <c r="ED9" i="3"/>
  <c r="EC9" i="3"/>
  <c r="EC5" i="3"/>
  <c r="ED5" i="3"/>
  <c r="EC6" i="3"/>
  <c r="ED6" i="3"/>
  <c r="U6" i="3" s="1"/>
  <c r="EC7" i="3"/>
  <c r="ED7" i="3"/>
  <c r="ED4" i="3"/>
  <c r="EC4" i="3"/>
  <c r="S97" i="3"/>
  <c r="T97" i="3"/>
  <c r="S93" i="3"/>
  <c r="T93" i="3"/>
  <c r="S94" i="3"/>
  <c r="T94" i="3"/>
  <c r="T96" i="3"/>
  <c r="S96" i="3"/>
  <c r="T92" i="3"/>
  <c r="S92" i="3"/>
  <c r="S86" i="3"/>
  <c r="T86" i="3"/>
  <c r="S87" i="3"/>
  <c r="T87" i="3"/>
  <c r="S88" i="3"/>
  <c r="T88" i="3"/>
  <c r="S89" i="3"/>
  <c r="T89" i="3"/>
  <c r="S90" i="3"/>
  <c r="T90" i="3"/>
  <c r="T85" i="3"/>
  <c r="S85" i="3"/>
  <c r="T83" i="3"/>
  <c r="S83" i="3"/>
  <c r="S28" i="3"/>
  <c r="T28" i="3"/>
  <c r="S29" i="3"/>
  <c r="T29" i="3"/>
  <c r="S30" i="3"/>
  <c r="T30" i="3"/>
  <c r="S31" i="3"/>
  <c r="T31" i="3"/>
  <c r="S32" i="3"/>
  <c r="T32" i="3"/>
  <c r="S33" i="3"/>
  <c r="T33" i="3"/>
  <c r="S34" i="3"/>
  <c r="T34" i="3"/>
  <c r="S35" i="3"/>
  <c r="T35" i="3"/>
  <c r="S36" i="3"/>
  <c r="T36" i="3"/>
  <c r="S37" i="3"/>
  <c r="T37" i="3"/>
  <c r="S38" i="3"/>
  <c r="T38" i="3"/>
  <c r="S39" i="3"/>
  <c r="T39" i="3"/>
  <c r="S40" i="3"/>
  <c r="T40" i="3"/>
  <c r="S41" i="3"/>
  <c r="T41" i="3"/>
  <c r="S42" i="3"/>
  <c r="T42" i="3"/>
  <c r="S43" i="3"/>
  <c r="T43" i="3"/>
  <c r="S44" i="3"/>
  <c r="T44" i="3"/>
  <c r="S45" i="3"/>
  <c r="T45" i="3"/>
  <c r="S46" i="3"/>
  <c r="T46" i="3"/>
  <c r="S47" i="3"/>
  <c r="T47" i="3"/>
  <c r="S48" i="3"/>
  <c r="T48" i="3"/>
  <c r="S49" i="3"/>
  <c r="T49" i="3"/>
  <c r="S50" i="3"/>
  <c r="T50" i="3"/>
  <c r="S51" i="3"/>
  <c r="T51" i="3"/>
  <c r="S52" i="3"/>
  <c r="T52" i="3"/>
  <c r="S53" i="3"/>
  <c r="T53" i="3"/>
  <c r="S54" i="3"/>
  <c r="T54" i="3"/>
  <c r="S55" i="3"/>
  <c r="T55" i="3"/>
  <c r="S56" i="3"/>
  <c r="T56" i="3"/>
  <c r="S57" i="3"/>
  <c r="T57" i="3"/>
  <c r="S58" i="3"/>
  <c r="T58" i="3"/>
  <c r="S59" i="3"/>
  <c r="T59" i="3"/>
  <c r="S60" i="3"/>
  <c r="T60" i="3"/>
  <c r="S61" i="3"/>
  <c r="T61" i="3"/>
  <c r="S62" i="3"/>
  <c r="T62" i="3"/>
  <c r="S63" i="3"/>
  <c r="T63" i="3"/>
  <c r="S64" i="3"/>
  <c r="T64" i="3"/>
  <c r="S65" i="3"/>
  <c r="T65" i="3"/>
  <c r="S66" i="3"/>
  <c r="T66" i="3"/>
  <c r="S67" i="3"/>
  <c r="T67" i="3"/>
  <c r="S68" i="3"/>
  <c r="T68" i="3"/>
  <c r="S69" i="3"/>
  <c r="T69" i="3"/>
  <c r="S70" i="3"/>
  <c r="T70" i="3"/>
  <c r="S71" i="3"/>
  <c r="T71" i="3"/>
  <c r="S72" i="3"/>
  <c r="T72" i="3"/>
  <c r="S73" i="3"/>
  <c r="T73" i="3"/>
  <c r="S74" i="3"/>
  <c r="T74" i="3"/>
  <c r="S75" i="3"/>
  <c r="T75" i="3"/>
  <c r="S76" i="3"/>
  <c r="T76" i="3"/>
  <c r="S77" i="3"/>
  <c r="T77" i="3"/>
  <c r="S78" i="3"/>
  <c r="T78" i="3"/>
  <c r="S79" i="3"/>
  <c r="T79" i="3"/>
  <c r="S80" i="3"/>
  <c r="T80" i="3"/>
  <c r="S81" i="3"/>
  <c r="T81" i="3"/>
  <c r="S10" i="3"/>
  <c r="T10" i="3"/>
  <c r="S11" i="3"/>
  <c r="T11" i="3"/>
  <c r="S12" i="3"/>
  <c r="T12" i="3"/>
  <c r="S13" i="3"/>
  <c r="T13" i="3"/>
  <c r="S14" i="3"/>
  <c r="T14" i="3"/>
  <c r="S15" i="3"/>
  <c r="T15" i="3"/>
  <c r="S16" i="3"/>
  <c r="T16" i="3"/>
  <c r="S17" i="3"/>
  <c r="T17" i="3"/>
  <c r="S18" i="3"/>
  <c r="T18" i="3"/>
  <c r="S19" i="3"/>
  <c r="T19" i="3"/>
  <c r="S20" i="3"/>
  <c r="T20" i="3"/>
  <c r="S21" i="3"/>
  <c r="T21" i="3"/>
  <c r="S22" i="3"/>
  <c r="T22" i="3"/>
  <c r="S23" i="3"/>
  <c r="T23" i="3"/>
  <c r="S24" i="3"/>
  <c r="T24" i="3"/>
  <c r="S25" i="3"/>
  <c r="T25" i="3"/>
  <c r="S26" i="3"/>
  <c r="T26" i="3"/>
  <c r="S27" i="3"/>
  <c r="T27" i="3"/>
  <c r="T9" i="3"/>
  <c r="S9" i="3"/>
  <c r="S5" i="3"/>
  <c r="T5" i="3"/>
  <c r="S6" i="3"/>
  <c r="T6" i="3"/>
  <c r="S7" i="3"/>
  <c r="T7" i="3"/>
  <c r="T4" i="3"/>
  <c r="S4" i="3"/>
  <c r="DS5" i="3"/>
  <c r="CT5" i="3"/>
  <c r="R5" i="3"/>
  <c r="Q5" i="3"/>
  <c r="CD5" i="3" s="1"/>
  <c r="P5" i="3"/>
  <c r="CB5" i="3" s="1"/>
  <c r="O5" i="3"/>
  <c r="N5" i="3"/>
  <c r="M5" i="3"/>
  <c r="L5" i="3"/>
  <c r="K5" i="3"/>
  <c r="BZ5" i="3" s="1"/>
  <c r="J5" i="3"/>
  <c r="BX5" i="3" s="1"/>
  <c r="I5" i="3"/>
  <c r="BV5" i="3" s="1"/>
  <c r="H5" i="3"/>
  <c r="G5" i="3"/>
  <c r="F5" i="3"/>
  <c r="E5" i="3"/>
  <c r="D5" i="3"/>
  <c r="EA6" i="3"/>
  <c r="DS6" i="3"/>
  <c r="DM6" i="3"/>
  <c r="DI6" i="3"/>
  <c r="R6" i="3"/>
  <c r="Q6" i="3"/>
  <c r="P6" i="3"/>
  <c r="CB6" i="3" s="1"/>
  <c r="O6" i="3"/>
  <c r="N6" i="3"/>
  <c r="M6" i="3"/>
  <c r="L6" i="3"/>
  <c r="K6" i="3"/>
  <c r="J6" i="3"/>
  <c r="I6" i="3"/>
  <c r="H6" i="3"/>
  <c r="BT6" i="3" s="1"/>
  <c r="G6" i="3"/>
  <c r="F6" i="3"/>
  <c r="E6" i="3"/>
  <c r="D6" i="3"/>
  <c r="Q97" i="3"/>
  <c r="R97" i="3"/>
  <c r="R96" i="3"/>
  <c r="Q96" i="3"/>
  <c r="Q93" i="3"/>
  <c r="R93" i="3"/>
  <c r="Q94" i="3"/>
  <c r="R94" i="3"/>
  <c r="R92" i="3"/>
  <c r="Q92" i="3"/>
  <c r="Q86" i="3"/>
  <c r="R86" i="3"/>
  <c r="Q87" i="3"/>
  <c r="R87" i="3"/>
  <c r="Q88" i="3"/>
  <c r="R88" i="3"/>
  <c r="Q89" i="3"/>
  <c r="R89" i="3"/>
  <c r="Q90" i="3"/>
  <c r="R90" i="3"/>
  <c r="R85" i="3"/>
  <c r="Q85" i="3"/>
  <c r="R83" i="3"/>
  <c r="Q83" i="3"/>
  <c r="Q32" i="3"/>
  <c r="R32" i="3"/>
  <c r="Q33" i="3"/>
  <c r="R33" i="3"/>
  <c r="Q34" i="3"/>
  <c r="R34" i="3"/>
  <c r="Q35" i="3"/>
  <c r="R35" i="3"/>
  <c r="Q36" i="3"/>
  <c r="R36" i="3"/>
  <c r="Q37" i="3"/>
  <c r="R37" i="3"/>
  <c r="Q38" i="3"/>
  <c r="R38" i="3"/>
  <c r="Q39" i="3"/>
  <c r="R39" i="3"/>
  <c r="Q40" i="3"/>
  <c r="R40" i="3"/>
  <c r="Q41" i="3"/>
  <c r="R41" i="3"/>
  <c r="Q42" i="3"/>
  <c r="R42" i="3"/>
  <c r="Q43" i="3"/>
  <c r="R43" i="3"/>
  <c r="Q44" i="3"/>
  <c r="R44" i="3"/>
  <c r="Q45" i="3"/>
  <c r="R45" i="3"/>
  <c r="Q46" i="3"/>
  <c r="R46" i="3"/>
  <c r="Q47" i="3"/>
  <c r="R47" i="3"/>
  <c r="Q48" i="3"/>
  <c r="R48" i="3"/>
  <c r="Q49" i="3"/>
  <c r="R49" i="3"/>
  <c r="Q50" i="3"/>
  <c r="R50" i="3"/>
  <c r="Q51" i="3"/>
  <c r="R51" i="3"/>
  <c r="Q52" i="3"/>
  <c r="R52" i="3"/>
  <c r="Q53" i="3"/>
  <c r="R53" i="3"/>
  <c r="Q54" i="3"/>
  <c r="R54" i="3"/>
  <c r="Q55" i="3"/>
  <c r="R55" i="3"/>
  <c r="Q56" i="3"/>
  <c r="R56" i="3"/>
  <c r="Q57" i="3"/>
  <c r="R57" i="3"/>
  <c r="Q58" i="3"/>
  <c r="R58" i="3"/>
  <c r="Q59" i="3"/>
  <c r="R59" i="3"/>
  <c r="Q60" i="3"/>
  <c r="R60" i="3"/>
  <c r="Q61" i="3"/>
  <c r="R61" i="3"/>
  <c r="Q62" i="3"/>
  <c r="R62" i="3"/>
  <c r="Q63" i="3"/>
  <c r="R63" i="3"/>
  <c r="Q64" i="3"/>
  <c r="R64" i="3"/>
  <c r="Q65" i="3"/>
  <c r="R65" i="3"/>
  <c r="Q66" i="3"/>
  <c r="R66" i="3"/>
  <c r="Q67" i="3"/>
  <c r="R67" i="3"/>
  <c r="Q68" i="3"/>
  <c r="R68" i="3"/>
  <c r="Q69" i="3"/>
  <c r="R69" i="3"/>
  <c r="Q70" i="3"/>
  <c r="R70" i="3"/>
  <c r="Q71" i="3"/>
  <c r="R71" i="3"/>
  <c r="Q72" i="3"/>
  <c r="R72" i="3"/>
  <c r="Q73" i="3"/>
  <c r="R73" i="3"/>
  <c r="Q74" i="3"/>
  <c r="R74" i="3"/>
  <c r="Q75" i="3"/>
  <c r="R75" i="3"/>
  <c r="Q76" i="3"/>
  <c r="R76" i="3"/>
  <c r="Q77" i="3"/>
  <c r="R77" i="3"/>
  <c r="Q78" i="3"/>
  <c r="R78" i="3"/>
  <c r="Q79" i="3"/>
  <c r="R79" i="3"/>
  <c r="Q80" i="3"/>
  <c r="R80" i="3"/>
  <c r="Q81" i="3"/>
  <c r="R81" i="3"/>
  <c r="Q10" i="3"/>
  <c r="R10" i="3"/>
  <c r="Q11" i="3"/>
  <c r="R11" i="3"/>
  <c r="Q12" i="3"/>
  <c r="R12" i="3"/>
  <c r="Q13" i="3"/>
  <c r="R13" i="3"/>
  <c r="Q14" i="3"/>
  <c r="R14" i="3"/>
  <c r="Q15" i="3"/>
  <c r="R15" i="3"/>
  <c r="Q16" i="3"/>
  <c r="R16" i="3"/>
  <c r="Q17" i="3"/>
  <c r="R17" i="3"/>
  <c r="Q18" i="3"/>
  <c r="R18" i="3"/>
  <c r="Q19" i="3"/>
  <c r="R19" i="3"/>
  <c r="Q20" i="3"/>
  <c r="R20" i="3"/>
  <c r="Q21" i="3"/>
  <c r="R21" i="3"/>
  <c r="Q22" i="3"/>
  <c r="R22" i="3"/>
  <c r="Q23" i="3"/>
  <c r="R23" i="3"/>
  <c r="Q24" i="3"/>
  <c r="R24" i="3"/>
  <c r="Q25" i="3"/>
  <c r="R25" i="3"/>
  <c r="Q26" i="3"/>
  <c r="R26" i="3"/>
  <c r="Q27" i="3"/>
  <c r="R27" i="3"/>
  <c r="Q28" i="3"/>
  <c r="R28" i="3"/>
  <c r="Q29" i="3"/>
  <c r="R29" i="3"/>
  <c r="Q30" i="3"/>
  <c r="R30" i="3"/>
  <c r="Q31" i="3"/>
  <c r="R31" i="3"/>
  <c r="R9" i="3"/>
  <c r="Q9" i="3"/>
  <c r="Q7" i="3"/>
  <c r="R7" i="3"/>
  <c r="R4" i="3"/>
  <c r="Q4" i="3"/>
  <c r="CD4" i="3" s="1"/>
  <c r="O97" i="3"/>
  <c r="P97" i="3"/>
  <c r="P96" i="3"/>
  <c r="O96" i="3"/>
  <c r="O93" i="3"/>
  <c r="P93" i="3"/>
  <c r="O94" i="3"/>
  <c r="P94" i="3"/>
  <c r="P92" i="3"/>
  <c r="O92" i="3"/>
  <c r="O90" i="3"/>
  <c r="P90" i="3"/>
  <c r="O86" i="3"/>
  <c r="P86" i="3"/>
  <c r="O87" i="3"/>
  <c r="P87" i="3"/>
  <c r="O88" i="3"/>
  <c r="P88" i="3"/>
  <c r="O89" i="3"/>
  <c r="P89" i="3"/>
  <c r="P85" i="3"/>
  <c r="O85" i="3"/>
  <c r="P83" i="3"/>
  <c r="O83" i="3"/>
  <c r="O32" i="3"/>
  <c r="P32" i="3"/>
  <c r="O33" i="3"/>
  <c r="P33" i="3"/>
  <c r="O34" i="3"/>
  <c r="P34" i="3"/>
  <c r="O35" i="3"/>
  <c r="P35" i="3"/>
  <c r="O36" i="3"/>
  <c r="P36" i="3"/>
  <c r="O37" i="3"/>
  <c r="P37" i="3"/>
  <c r="O38" i="3"/>
  <c r="P38" i="3"/>
  <c r="O39" i="3"/>
  <c r="P39" i="3"/>
  <c r="O40" i="3"/>
  <c r="P40" i="3"/>
  <c r="O41" i="3"/>
  <c r="P41" i="3"/>
  <c r="O42" i="3"/>
  <c r="P42" i="3"/>
  <c r="O43" i="3"/>
  <c r="P43" i="3"/>
  <c r="O44" i="3"/>
  <c r="P44" i="3"/>
  <c r="O45" i="3"/>
  <c r="P45" i="3"/>
  <c r="O46" i="3"/>
  <c r="P46" i="3"/>
  <c r="O47" i="3"/>
  <c r="P47" i="3"/>
  <c r="O48" i="3"/>
  <c r="P48" i="3"/>
  <c r="O49" i="3"/>
  <c r="P49" i="3"/>
  <c r="O50" i="3"/>
  <c r="P50" i="3"/>
  <c r="O51" i="3"/>
  <c r="P51" i="3"/>
  <c r="O52" i="3"/>
  <c r="P52" i="3"/>
  <c r="O53" i="3"/>
  <c r="P53" i="3"/>
  <c r="O54" i="3"/>
  <c r="P54" i="3"/>
  <c r="O55" i="3"/>
  <c r="P55" i="3"/>
  <c r="O56" i="3"/>
  <c r="P56" i="3"/>
  <c r="O57" i="3"/>
  <c r="P57" i="3"/>
  <c r="O58" i="3"/>
  <c r="P58" i="3"/>
  <c r="O59" i="3"/>
  <c r="P59" i="3"/>
  <c r="O60" i="3"/>
  <c r="P60" i="3"/>
  <c r="O61" i="3"/>
  <c r="P61" i="3"/>
  <c r="O62" i="3"/>
  <c r="P62" i="3"/>
  <c r="O63" i="3"/>
  <c r="P63" i="3"/>
  <c r="O64" i="3"/>
  <c r="P64" i="3"/>
  <c r="O65" i="3"/>
  <c r="P65" i="3"/>
  <c r="O66" i="3"/>
  <c r="P66" i="3"/>
  <c r="O67" i="3"/>
  <c r="P67" i="3"/>
  <c r="O68" i="3"/>
  <c r="P68" i="3"/>
  <c r="O69" i="3"/>
  <c r="P69" i="3"/>
  <c r="O70" i="3"/>
  <c r="P70" i="3"/>
  <c r="O71" i="3"/>
  <c r="P71" i="3"/>
  <c r="O72" i="3"/>
  <c r="P72" i="3"/>
  <c r="O73" i="3"/>
  <c r="P73" i="3"/>
  <c r="O74" i="3"/>
  <c r="P74" i="3"/>
  <c r="O75" i="3"/>
  <c r="P75" i="3"/>
  <c r="O76" i="3"/>
  <c r="P76" i="3"/>
  <c r="O77" i="3"/>
  <c r="P77" i="3"/>
  <c r="O78" i="3"/>
  <c r="P78" i="3"/>
  <c r="O79" i="3"/>
  <c r="P79" i="3"/>
  <c r="O80" i="3"/>
  <c r="P80" i="3"/>
  <c r="O81" i="3"/>
  <c r="P81" i="3"/>
  <c r="O10" i="3"/>
  <c r="P10" i="3"/>
  <c r="O11" i="3"/>
  <c r="P11" i="3"/>
  <c r="O12" i="3"/>
  <c r="P12" i="3"/>
  <c r="O13" i="3"/>
  <c r="P13" i="3"/>
  <c r="O14" i="3"/>
  <c r="P14" i="3"/>
  <c r="O15" i="3"/>
  <c r="P15" i="3"/>
  <c r="O16" i="3"/>
  <c r="P16" i="3"/>
  <c r="O17" i="3"/>
  <c r="P17" i="3"/>
  <c r="O18" i="3"/>
  <c r="P18" i="3"/>
  <c r="O19" i="3"/>
  <c r="P19" i="3"/>
  <c r="O20" i="3"/>
  <c r="P20" i="3"/>
  <c r="O21" i="3"/>
  <c r="P21" i="3"/>
  <c r="O22" i="3"/>
  <c r="P22" i="3"/>
  <c r="O23" i="3"/>
  <c r="P23" i="3"/>
  <c r="O24" i="3"/>
  <c r="P24" i="3"/>
  <c r="O25" i="3"/>
  <c r="P25" i="3"/>
  <c r="O26" i="3"/>
  <c r="P26" i="3"/>
  <c r="O27" i="3"/>
  <c r="P27" i="3"/>
  <c r="O28" i="3"/>
  <c r="P28" i="3"/>
  <c r="O29" i="3"/>
  <c r="P29" i="3"/>
  <c r="O30" i="3"/>
  <c r="P30" i="3"/>
  <c r="O31" i="3"/>
  <c r="P31" i="3"/>
  <c r="P9" i="3"/>
  <c r="O9" i="3"/>
  <c r="O7" i="3"/>
  <c r="P7" i="3"/>
  <c r="P4" i="3"/>
  <c r="O4" i="3"/>
  <c r="M97" i="3"/>
  <c r="N97" i="3"/>
  <c r="N96" i="3"/>
  <c r="M96" i="3"/>
  <c r="M93" i="3"/>
  <c r="N93" i="3"/>
  <c r="M94" i="3"/>
  <c r="N94" i="3"/>
  <c r="N92" i="3"/>
  <c r="M92" i="3"/>
  <c r="M86" i="3"/>
  <c r="N86" i="3"/>
  <c r="M87" i="3"/>
  <c r="N87" i="3"/>
  <c r="M88" i="3"/>
  <c r="N88" i="3"/>
  <c r="M89" i="3"/>
  <c r="N89" i="3"/>
  <c r="M90" i="3"/>
  <c r="N90" i="3"/>
  <c r="N85" i="3"/>
  <c r="M85" i="3"/>
  <c r="N83" i="3"/>
  <c r="M83" i="3"/>
  <c r="M10" i="3"/>
  <c r="N10" i="3"/>
  <c r="M11" i="3"/>
  <c r="N11" i="3"/>
  <c r="M12" i="3"/>
  <c r="N12" i="3"/>
  <c r="M13" i="3"/>
  <c r="N13" i="3"/>
  <c r="M14" i="3"/>
  <c r="N14" i="3"/>
  <c r="M15" i="3"/>
  <c r="N15" i="3"/>
  <c r="M16" i="3"/>
  <c r="N16" i="3"/>
  <c r="M17" i="3"/>
  <c r="N17" i="3"/>
  <c r="M18" i="3"/>
  <c r="N18" i="3"/>
  <c r="M19" i="3"/>
  <c r="N19" i="3"/>
  <c r="M20" i="3"/>
  <c r="N20" i="3"/>
  <c r="M21" i="3"/>
  <c r="N21" i="3"/>
  <c r="M22" i="3"/>
  <c r="N22" i="3"/>
  <c r="M23" i="3"/>
  <c r="N23" i="3"/>
  <c r="M24" i="3"/>
  <c r="N24" i="3"/>
  <c r="M25" i="3"/>
  <c r="N25" i="3"/>
  <c r="M26" i="3"/>
  <c r="N26" i="3"/>
  <c r="M27" i="3"/>
  <c r="N27" i="3"/>
  <c r="M28" i="3"/>
  <c r="N28" i="3"/>
  <c r="M29" i="3"/>
  <c r="N29" i="3"/>
  <c r="M30" i="3"/>
  <c r="N30" i="3"/>
  <c r="M31" i="3"/>
  <c r="N31" i="3"/>
  <c r="M32" i="3"/>
  <c r="N32" i="3"/>
  <c r="M33" i="3"/>
  <c r="N33" i="3"/>
  <c r="M34" i="3"/>
  <c r="N34" i="3"/>
  <c r="M35" i="3"/>
  <c r="N35" i="3"/>
  <c r="M36" i="3"/>
  <c r="N36" i="3"/>
  <c r="M37" i="3"/>
  <c r="N37" i="3"/>
  <c r="M38" i="3"/>
  <c r="N38" i="3"/>
  <c r="M39" i="3"/>
  <c r="N39" i="3"/>
  <c r="M40" i="3"/>
  <c r="N40" i="3"/>
  <c r="M41" i="3"/>
  <c r="N41" i="3"/>
  <c r="M42" i="3"/>
  <c r="N42" i="3"/>
  <c r="M43" i="3"/>
  <c r="N43" i="3"/>
  <c r="M44" i="3"/>
  <c r="N44" i="3"/>
  <c r="M45" i="3"/>
  <c r="N45" i="3"/>
  <c r="M46" i="3"/>
  <c r="N46" i="3"/>
  <c r="M47" i="3"/>
  <c r="N47" i="3"/>
  <c r="M48" i="3"/>
  <c r="N48" i="3"/>
  <c r="M49" i="3"/>
  <c r="N49" i="3"/>
  <c r="M50" i="3"/>
  <c r="N50" i="3"/>
  <c r="M51" i="3"/>
  <c r="N51" i="3"/>
  <c r="M52" i="3"/>
  <c r="N52" i="3"/>
  <c r="M53" i="3"/>
  <c r="N53" i="3"/>
  <c r="M54" i="3"/>
  <c r="N54" i="3"/>
  <c r="M55" i="3"/>
  <c r="N55" i="3"/>
  <c r="M56" i="3"/>
  <c r="N56" i="3"/>
  <c r="M57" i="3"/>
  <c r="N57" i="3"/>
  <c r="M58" i="3"/>
  <c r="N58" i="3"/>
  <c r="M59" i="3"/>
  <c r="N59" i="3"/>
  <c r="M60" i="3"/>
  <c r="N60" i="3"/>
  <c r="M61" i="3"/>
  <c r="N61" i="3"/>
  <c r="M62" i="3"/>
  <c r="N62" i="3"/>
  <c r="M63" i="3"/>
  <c r="N63" i="3"/>
  <c r="M64" i="3"/>
  <c r="N64" i="3"/>
  <c r="M65" i="3"/>
  <c r="N65" i="3"/>
  <c r="M66" i="3"/>
  <c r="N66" i="3"/>
  <c r="M67" i="3"/>
  <c r="N67" i="3"/>
  <c r="M68" i="3"/>
  <c r="N68" i="3"/>
  <c r="M69" i="3"/>
  <c r="N69" i="3"/>
  <c r="M70" i="3"/>
  <c r="N70" i="3"/>
  <c r="M71" i="3"/>
  <c r="N71" i="3"/>
  <c r="M72" i="3"/>
  <c r="N72" i="3"/>
  <c r="M73" i="3"/>
  <c r="N73" i="3"/>
  <c r="M74" i="3"/>
  <c r="N74" i="3"/>
  <c r="M75" i="3"/>
  <c r="N75" i="3"/>
  <c r="M76" i="3"/>
  <c r="N76" i="3"/>
  <c r="M77" i="3"/>
  <c r="N77" i="3"/>
  <c r="M78" i="3"/>
  <c r="N78" i="3"/>
  <c r="M79" i="3"/>
  <c r="N79" i="3"/>
  <c r="M80" i="3"/>
  <c r="N80" i="3"/>
  <c r="M81" i="3"/>
  <c r="N81" i="3"/>
  <c r="N9" i="3"/>
  <c r="M9" i="3"/>
  <c r="M7" i="3"/>
  <c r="N7" i="3"/>
  <c r="N4" i="3"/>
  <c r="M4" i="3"/>
  <c r="K97" i="3"/>
  <c r="L97" i="3"/>
  <c r="L96" i="3"/>
  <c r="K96" i="3"/>
  <c r="K93" i="3"/>
  <c r="L93" i="3"/>
  <c r="K94" i="3"/>
  <c r="L94" i="3"/>
  <c r="L92" i="3"/>
  <c r="K92" i="3"/>
  <c r="K86" i="3"/>
  <c r="L86" i="3"/>
  <c r="K87" i="3"/>
  <c r="L87" i="3"/>
  <c r="K88" i="3"/>
  <c r="L88" i="3"/>
  <c r="K89" i="3"/>
  <c r="L89" i="3"/>
  <c r="K90" i="3"/>
  <c r="L90" i="3"/>
  <c r="L85" i="3"/>
  <c r="K85" i="3"/>
  <c r="L83" i="3"/>
  <c r="K83" i="3"/>
  <c r="K31" i="3"/>
  <c r="L31" i="3"/>
  <c r="K32" i="3"/>
  <c r="L32" i="3"/>
  <c r="K33" i="3"/>
  <c r="L33" i="3"/>
  <c r="K34" i="3"/>
  <c r="L34" i="3"/>
  <c r="K35" i="3"/>
  <c r="L35" i="3"/>
  <c r="K36" i="3"/>
  <c r="L36" i="3"/>
  <c r="K37" i="3"/>
  <c r="L37" i="3"/>
  <c r="K38" i="3"/>
  <c r="L38" i="3"/>
  <c r="K39" i="3"/>
  <c r="L39" i="3"/>
  <c r="K40" i="3"/>
  <c r="L40" i="3"/>
  <c r="K41" i="3"/>
  <c r="L41" i="3"/>
  <c r="K42" i="3"/>
  <c r="L42" i="3"/>
  <c r="K43" i="3"/>
  <c r="L43" i="3"/>
  <c r="K44" i="3"/>
  <c r="L44" i="3"/>
  <c r="K45" i="3"/>
  <c r="L45" i="3"/>
  <c r="K46" i="3"/>
  <c r="L46" i="3"/>
  <c r="K47" i="3"/>
  <c r="L47" i="3"/>
  <c r="K48" i="3"/>
  <c r="L48" i="3"/>
  <c r="K49" i="3"/>
  <c r="L49" i="3"/>
  <c r="K50" i="3"/>
  <c r="L50" i="3"/>
  <c r="K51" i="3"/>
  <c r="L51" i="3"/>
  <c r="K52" i="3"/>
  <c r="L52" i="3"/>
  <c r="K53" i="3"/>
  <c r="L53" i="3"/>
  <c r="K54" i="3"/>
  <c r="L54" i="3"/>
  <c r="K55" i="3"/>
  <c r="L55" i="3"/>
  <c r="K56" i="3"/>
  <c r="L56" i="3"/>
  <c r="K57" i="3"/>
  <c r="L57" i="3"/>
  <c r="K58" i="3"/>
  <c r="L58" i="3"/>
  <c r="K59" i="3"/>
  <c r="L59" i="3"/>
  <c r="K60" i="3"/>
  <c r="L60" i="3"/>
  <c r="K61" i="3"/>
  <c r="L61" i="3"/>
  <c r="K62" i="3"/>
  <c r="L62" i="3"/>
  <c r="K63" i="3"/>
  <c r="L63" i="3"/>
  <c r="K64" i="3"/>
  <c r="L64" i="3"/>
  <c r="K65" i="3"/>
  <c r="L65" i="3"/>
  <c r="K66" i="3"/>
  <c r="L66" i="3"/>
  <c r="K67" i="3"/>
  <c r="L67" i="3"/>
  <c r="K68" i="3"/>
  <c r="L68" i="3"/>
  <c r="K69" i="3"/>
  <c r="L69" i="3"/>
  <c r="K70" i="3"/>
  <c r="L70" i="3"/>
  <c r="K71" i="3"/>
  <c r="L71" i="3"/>
  <c r="K72" i="3"/>
  <c r="L72" i="3"/>
  <c r="K73" i="3"/>
  <c r="L73" i="3"/>
  <c r="K74" i="3"/>
  <c r="L74" i="3"/>
  <c r="K75" i="3"/>
  <c r="L75" i="3"/>
  <c r="K76" i="3"/>
  <c r="L76" i="3"/>
  <c r="K77" i="3"/>
  <c r="L77" i="3"/>
  <c r="K78" i="3"/>
  <c r="L78" i="3"/>
  <c r="K79" i="3"/>
  <c r="L79" i="3"/>
  <c r="K80" i="3"/>
  <c r="L80" i="3"/>
  <c r="K81" i="3"/>
  <c r="L81" i="3"/>
  <c r="K10" i="3"/>
  <c r="L10" i="3"/>
  <c r="K11" i="3"/>
  <c r="L11" i="3"/>
  <c r="K12" i="3"/>
  <c r="L12" i="3"/>
  <c r="K13" i="3"/>
  <c r="L13" i="3"/>
  <c r="K14" i="3"/>
  <c r="L14" i="3"/>
  <c r="K15" i="3"/>
  <c r="L15" i="3"/>
  <c r="K16" i="3"/>
  <c r="L16" i="3"/>
  <c r="K17" i="3"/>
  <c r="L17" i="3"/>
  <c r="K18" i="3"/>
  <c r="L18" i="3"/>
  <c r="K19" i="3"/>
  <c r="L19" i="3"/>
  <c r="K20" i="3"/>
  <c r="L20" i="3"/>
  <c r="K21" i="3"/>
  <c r="L21" i="3"/>
  <c r="K22" i="3"/>
  <c r="L22" i="3"/>
  <c r="K23" i="3"/>
  <c r="L23" i="3"/>
  <c r="K24" i="3"/>
  <c r="L24" i="3"/>
  <c r="K25" i="3"/>
  <c r="L25" i="3"/>
  <c r="K26" i="3"/>
  <c r="L26" i="3"/>
  <c r="K27" i="3"/>
  <c r="L27" i="3"/>
  <c r="K28" i="3"/>
  <c r="L28" i="3"/>
  <c r="K29" i="3"/>
  <c r="L29" i="3"/>
  <c r="K30" i="3"/>
  <c r="L30" i="3"/>
  <c r="L9" i="3"/>
  <c r="K9" i="3"/>
  <c r="K7" i="3"/>
  <c r="L7" i="3"/>
  <c r="L4" i="3"/>
  <c r="K4" i="3"/>
  <c r="I97" i="3"/>
  <c r="J97" i="3"/>
  <c r="I93" i="3"/>
  <c r="J93" i="3"/>
  <c r="I94" i="3"/>
  <c r="J94" i="3"/>
  <c r="I86" i="3"/>
  <c r="J86" i="3"/>
  <c r="I87" i="3"/>
  <c r="J87" i="3"/>
  <c r="I88" i="3"/>
  <c r="J88" i="3"/>
  <c r="I89" i="3"/>
  <c r="J89" i="3"/>
  <c r="I90" i="3"/>
  <c r="J90" i="3"/>
  <c r="J96" i="3"/>
  <c r="I96" i="3"/>
  <c r="J92" i="3"/>
  <c r="I92" i="3"/>
  <c r="J85" i="3"/>
  <c r="I85" i="3"/>
  <c r="J83" i="3"/>
  <c r="I83" i="3"/>
  <c r="I29" i="3"/>
  <c r="J29" i="3"/>
  <c r="I30" i="3"/>
  <c r="J30" i="3"/>
  <c r="I31" i="3"/>
  <c r="J31" i="3"/>
  <c r="I32" i="3"/>
  <c r="J32" i="3"/>
  <c r="I33" i="3"/>
  <c r="J33" i="3"/>
  <c r="I34" i="3"/>
  <c r="J34" i="3"/>
  <c r="I35" i="3"/>
  <c r="J35" i="3"/>
  <c r="I36" i="3"/>
  <c r="J36" i="3"/>
  <c r="I37" i="3"/>
  <c r="J37" i="3"/>
  <c r="I38" i="3"/>
  <c r="J38" i="3"/>
  <c r="I39" i="3"/>
  <c r="J39" i="3"/>
  <c r="I40" i="3"/>
  <c r="J40" i="3"/>
  <c r="I41" i="3"/>
  <c r="J41" i="3"/>
  <c r="I42" i="3"/>
  <c r="J42" i="3"/>
  <c r="I43" i="3"/>
  <c r="J43" i="3"/>
  <c r="I44" i="3"/>
  <c r="J44" i="3"/>
  <c r="I45" i="3"/>
  <c r="J45" i="3"/>
  <c r="I46" i="3"/>
  <c r="J46" i="3"/>
  <c r="I47" i="3"/>
  <c r="J47" i="3"/>
  <c r="I48" i="3"/>
  <c r="J48" i="3"/>
  <c r="I49" i="3"/>
  <c r="J49" i="3"/>
  <c r="I50" i="3"/>
  <c r="J50" i="3"/>
  <c r="I51" i="3"/>
  <c r="J51" i="3"/>
  <c r="I52" i="3"/>
  <c r="J52" i="3"/>
  <c r="I53" i="3"/>
  <c r="J53" i="3"/>
  <c r="I54" i="3"/>
  <c r="J54" i="3"/>
  <c r="I55" i="3"/>
  <c r="J55" i="3"/>
  <c r="I56" i="3"/>
  <c r="J56" i="3"/>
  <c r="I57" i="3"/>
  <c r="J57" i="3"/>
  <c r="I58" i="3"/>
  <c r="J58" i="3"/>
  <c r="I59" i="3"/>
  <c r="J59" i="3"/>
  <c r="I60" i="3"/>
  <c r="J60" i="3"/>
  <c r="I61" i="3"/>
  <c r="J61" i="3"/>
  <c r="I62" i="3"/>
  <c r="J62" i="3"/>
  <c r="I63" i="3"/>
  <c r="J63" i="3"/>
  <c r="I64" i="3"/>
  <c r="J64" i="3"/>
  <c r="I65" i="3"/>
  <c r="J65" i="3"/>
  <c r="I66" i="3"/>
  <c r="J66" i="3"/>
  <c r="I67" i="3"/>
  <c r="J67" i="3"/>
  <c r="I68" i="3"/>
  <c r="J68" i="3"/>
  <c r="I69" i="3"/>
  <c r="J69" i="3"/>
  <c r="I70" i="3"/>
  <c r="J70" i="3"/>
  <c r="I71" i="3"/>
  <c r="J71" i="3"/>
  <c r="I72" i="3"/>
  <c r="J72" i="3"/>
  <c r="I73" i="3"/>
  <c r="J73" i="3"/>
  <c r="I74" i="3"/>
  <c r="J74" i="3"/>
  <c r="I75" i="3"/>
  <c r="J75" i="3"/>
  <c r="I76" i="3"/>
  <c r="J76" i="3"/>
  <c r="I77" i="3"/>
  <c r="J77" i="3"/>
  <c r="I78" i="3"/>
  <c r="J78" i="3"/>
  <c r="I79" i="3"/>
  <c r="J79" i="3"/>
  <c r="I80" i="3"/>
  <c r="J80" i="3"/>
  <c r="I81" i="3"/>
  <c r="J81" i="3"/>
  <c r="I10" i="3"/>
  <c r="J10" i="3"/>
  <c r="I11" i="3"/>
  <c r="J11" i="3"/>
  <c r="I12" i="3"/>
  <c r="J12" i="3"/>
  <c r="I13" i="3"/>
  <c r="J13" i="3"/>
  <c r="I14" i="3"/>
  <c r="J14" i="3"/>
  <c r="I15" i="3"/>
  <c r="J15" i="3"/>
  <c r="I16" i="3"/>
  <c r="J16" i="3"/>
  <c r="I17" i="3"/>
  <c r="J17" i="3"/>
  <c r="I18" i="3"/>
  <c r="J18" i="3"/>
  <c r="I19" i="3"/>
  <c r="J19" i="3"/>
  <c r="I20" i="3"/>
  <c r="J20" i="3"/>
  <c r="I21" i="3"/>
  <c r="J21" i="3"/>
  <c r="I22" i="3"/>
  <c r="J22" i="3"/>
  <c r="I23" i="3"/>
  <c r="J23" i="3"/>
  <c r="I24" i="3"/>
  <c r="J24" i="3"/>
  <c r="I25" i="3"/>
  <c r="J25" i="3"/>
  <c r="I26" i="3"/>
  <c r="J26" i="3"/>
  <c r="I27" i="3"/>
  <c r="J27" i="3"/>
  <c r="I28" i="3"/>
  <c r="J28" i="3"/>
  <c r="J9" i="3"/>
  <c r="I9" i="3"/>
  <c r="I7" i="3"/>
  <c r="J7" i="3"/>
  <c r="J4" i="3"/>
  <c r="I4" i="3"/>
  <c r="G97" i="3"/>
  <c r="H97" i="3"/>
  <c r="H96" i="3"/>
  <c r="G96" i="3"/>
  <c r="G93" i="3"/>
  <c r="H93" i="3"/>
  <c r="G94" i="3"/>
  <c r="H94" i="3"/>
  <c r="H92" i="3"/>
  <c r="G92" i="3"/>
  <c r="G86" i="3"/>
  <c r="H86" i="3"/>
  <c r="G87" i="3"/>
  <c r="H87" i="3"/>
  <c r="G88" i="3"/>
  <c r="H88" i="3"/>
  <c r="G89" i="3"/>
  <c r="H89" i="3"/>
  <c r="G90" i="3"/>
  <c r="H90" i="3"/>
  <c r="H85" i="3"/>
  <c r="G85" i="3"/>
  <c r="H83" i="3"/>
  <c r="G83" i="3"/>
  <c r="G28" i="3"/>
  <c r="H28" i="3"/>
  <c r="G29" i="3"/>
  <c r="H29" i="3"/>
  <c r="G30" i="3"/>
  <c r="H30" i="3"/>
  <c r="G31" i="3"/>
  <c r="H31" i="3"/>
  <c r="G32" i="3"/>
  <c r="H32" i="3"/>
  <c r="G33" i="3"/>
  <c r="H33" i="3"/>
  <c r="G34" i="3"/>
  <c r="H34" i="3"/>
  <c r="G35" i="3"/>
  <c r="H35" i="3"/>
  <c r="G36" i="3"/>
  <c r="H36" i="3"/>
  <c r="G37" i="3"/>
  <c r="H37" i="3"/>
  <c r="G38" i="3"/>
  <c r="H38" i="3"/>
  <c r="G39" i="3"/>
  <c r="H39" i="3"/>
  <c r="G40" i="3"/>
  <c r="H40" i="3"/>
  <c r="G41" i="3"/>
  <c r="H41" i="3"/>
  <c r="G42" i="3"/>
  <c r="H42" i="3"/>
  <c r="G43" i="3"/>
  <c r="H43" i="3"/>
  <c r="G44" i="3"/>
  <c r="H44" i="3"/>
  <c r="G45" i="3"/>
  <c r="H45" i="3"/>
  <c r="G46" i="3"/>
  <c r="H46" i="3"/>
  <c r="G47" i="3"/>
  <c r="H47" i="3"/>
  <c r="G48" i="3"/>
  <c r="H48" i="3"/>
  <c r="G49" i="3"/>
  <c r="H49" i="3"/>
  <c r="G50" i="3"/>
  <c r="H50" i="3"/>
  <c r="G51" i="3"/>
  <c r="H51" i="3"/>
  <c r="G52" i="3"/>
  <c r="H52" i="3"/>
  <c r="G53" i="3"/>
  <c r="H53" i="3"/>
  <c r="G54" i="3"/>
  <c r="H54" i="3"/>
  <c r="G55" i="3"/>
  <c r="H55" i="3"/>
  <c r="G56" i="3"/>
  <c r="H56" i="3"/>
  <c r="G57" i="3"/>
  <c r="H57" i="3"/>
  <c r="G58" i="3"/>
  <c r="H58" i="3"/>
  <c r="G59" i="3"/>
  <c r="H59" i="3"/>
  <c r="G60" i="3"/>
  <c r="H60" i="3"/>
  <c r="G61" i="3"/>
  <c r="H61" i="3"/>
  <c r="G62" i="3"/>
  <c r="H62" i="3"/>
  <c r="G63" i="3"/>
  <c r="H63" i="3"/>
  <c r="G64" i="3"/>
  <c r="H64" i="3"/>
  <c r="G65" i="3"/>
  <c r="H65" i="3"/>
  <c r="G66" i="3"/>
  <c r="H66" i="3"/>
  <c r="G67" i="3"/>
  <c r="H67" i="3"/>
  <c r="G68" i="3"/>
  <c r="H68" i="3"/>
  <c r="G69" i="3"/>
  <c r="H69" i="3"/>
  <c r="G70" i="3"/>
  <c r="H70" i="3"/>
  <c r="G71" i="3"/>
  <c r="H71" i="3"/>
  <c r="G72" i="3"/>
  <c r="H72" i="3"/>
  <c r="G73" i="3"/>
  <c r="H73" i="3"/>
  <c r="G74" i="3"/>
  <c r="H74" i="3"/>
  <c r="G75" i="3"/>
  <c r="H75" i="3"/>
  <c r="G76" i="3"/>
  <c r="H76" i="3"/>
  <c r="G77" i="3"/>
  <c r="H77" i="3"/>
  <c r="G78" i="3"/>
  <c r="H78" i="3"/>
  <c r="G79" i="3"/>
  <c r="H79" i="3"/>
  <c r="G80" i="3"/>
  <c r="H80" i="3"/>
  <c r="G81" i="3"/>
  <c r="H81" i="3"/>
  <c r="G10" i="3"/>
  <c r="H10" i="3"/>
  <c r="G11" i="3"/>
  <c r="H11" i="3"/>
  <c r="G12" i="3"/>
  <c r="H12" i="3"/>
  <c r="G13" i="3"/>
  <c r="H13" i="3"/>
  <c r="G14" i="3"/>
  <c r="H14" i="3"/>
  <c r="G15" i="3"/>
  <c r="H15" i="3"/>
  <c r="G16" i="3"/>
  <c r="H16" i="3"/>
  <c r="G17" i="3"/>
  <c r="H17" i="3"/>
  <c r="G18" i="3"/>
  <c r="H18" i="3"/>
  <c r="G19" i="3"/>
  <c r="H19" i="3"/>
  <c r="G20" i="3"/>
  <c r="H20" i="3"/>
  <c r="G21" i="3"/>
  <c r="H21" i="3"/>
  <c r="G22" i="3"/>
  <c r="H22" i="3"/>
  <c r="G23" i="3"/>
  <c r="H23" i="3"/>
  <c r="G24" i="3"/>
  <c r="H24" i="3"/>
  <c r="G25" i="3"/>
  <c r="H25" i="3"/>
  <c r="G26" i="3"/>
  <c r="H26" i="3"/>
  <c r="G27" i="3"/>
  <c r="H27" i="3"/>
  <c r="H9" i="3"/>
  <c r="G9" i="3"/>
  <c r="G7" i="3"/>
  <c r="H7" i="3"/>
  <c r="G4" i="3"/>
  <c r="H4" i="3"/>
  <c r="F97" i="3"/>
  <c r="F96" i="3"/>
  <c r="F93" i="3"/>
  <c r="F94" i="3"/>
  <c r="F92" i="3"/>
  <c r="F88" i="3"/>
  <c r="F89" i="3"/>
  <c r="F90" i="3"/>
  <c r="F86" i="3"/>
  <c r="F87" i="3"/>
  <c r="F85" i="3"/>
  <c r="F83"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10" i="3"/>
  <c r="F11" i="3"/>
  <c r="F12" i="3"/>
  <c r="F13" i="3"/>
  <c r="F14" i="3"/>
  <c r="F15" i="3"/>
  <c r="F16" i="3"/>
  <c r="F17" i="3"/>
  <c r="F18" i="3"/>
  <c r="F19" i="3"/>
  <c r="F20" i="3"/>
  <c r="F21" i="3"/>
  <c r="F22" i="3"/>
  <c r="F23" i="3"/>
  <c r="F24" i="3"/>
  <c r="F25" i="3"/>
  <c r="F26" i="3"/>
  <c r="F9" i="3"/>
  <c r="F7" i="3"/>
  <c r="F4" i="3"/>
  <c r="E97" i="3"/>
  <c r="E96" i="3"/>
  <c r="E93" i="3"/>
  <c r="E94" i="3"/>
  <c r="E92" i="3"/>
  <c r="E86" i="3"/>
  <c r="E87" i="3"/>
  <c r="E88" i="3"/>
  <c r="E89" i="3"/>
  <c r="E90" i="3"/>
  <c r="E85" i="3"/>
  <c r="E83"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9" i="3"/>
  <c r="E7" i="3"/>
  <c r="E4" i="3"/>
  <c r="F110" i="3"/>
  <c r="G110" i="3"/>
  <c r="H110" i="3"/>
  <c r="I110" i="3"/>
  <c r="J110" i="3"/>
  <c r="K110" i="3"/>
  <c r="L110" i="3"/>
  <c r="M110" i="3"/>
  <c r="N110" i="3"/>
  <c r="O110" i="3"/>
  <c r="P110" i="3"/>
  <c r="Q110" i="3"/>
  <c r="R110" i="3"/>
  <c r="S110" i="3"/>
  <c r="T110" i="3"/>
  <c r="E110" i="3"/>
  <c r="D110" i="3"/>
  <c r="BZ91" i="52"/>
  <c r="CA91" i="52"/>
  <c r="CB91" i="52"/>
  <c r="CC91" i="52"/>
  <c r="CD91" i="52"/>
  <c r="CE91" i="52"/>
  <c r="CF91" i="52"/>
  <c r="CG91" i="52"/>
  <c r="CH91" i="52"/>
  <c r="CI91" i="52"/>
  <c r="CJ91" i="52"/>
  <c r="CK91" i="52"/>
  <c r="CL91" i="52"/>
  <c r="BW91" i="52"/>
  <c r="BX91" i="52"/>
  <c r="BY91" i="52"/>
  <c r="U91" i="52"/>
  <c r="V91" i="52"/>
  <c r="W91" i="52"/>
  <c r="X91" i="52"/>
  <c r="Y91" i="52"/>
  <c r="Z91" i="52"/>
  <c r="AA91" i="52"/>
  <c r="AB91" i="52"/>
  <c r="AC91" i="52"/>
  <c r="AD91" i="52"/>
  <c r="AE91" i="52"/>
  <c r="AF91" i="52"/>
  <c r="AG91" i="52"/>
  <c r="AH91" i="52"/>
  <c r="AI91" i="52"/>
  <c r="AJ91" i="52"/>
  <c r="AK91" i="52"/>
  <c r="AL91" i="52"/>
  <c r="AM91" i="52"/>
  <c r="AN91" i="52"/>
  <c r="AO91" i="52"/>
  <c r="AP91" i="52"/>
  <c r="AQ91" i="52"/>
  <c r="AR91" i="52"/>
  <c r="AS91" i="52"/>
  <c r="AT91" i="52"/>
  <c r="AU91" i="52"/>
  <c r="AV91" i="52"/>
  <c r="AW91" i="52"/>
  <c r="AX91" i="52"/>
  <c r="AY91" i="52"/>
  <c r="AZ91" i="52"/>
  <c r="BA91" i="52"/>
  <c r="BB91" i="52"/>
  <c r="BC91" i="52"/>
  <c r="BD91" i="52"/>
  <c r="BE91" i="52"/>
  <c r="BF91" i="52"/>
  <c r="BG91" i="52"/>
  <c r="BH91" i="52"/>
  <c r="BI91" i="52"/>
  <c r="BJ91" i="52"/>
  <c r="BK91" i="52"/>
  <c r="BL91" i="52"/>
  <c r="BM91" i="52"/>
  <c r="BN91" i="52"/>
  <c r="BO91" i="52"/>
  <c r="BP91" i="52"/>
  <c r="BQ91" i="52"/>
  <c r="BR91" i="52"/>
  <c r="BS91" i="52"/>
  <c r="BT91" i="52"/>
  <c r="BU91" i="52"/>
  <c r="BV91" i="52"/>
  <c r="T91" i="52"/>
  <c r="D97" i="3"/>
  <c r="D96" i="3"/>
  <c r="D93" i="3"/>
  <c r="D94" i="3"/>
  <c r="D92" i="3"/>
  <c r="D86" i="3"/>
  <c r="D87" i="3"/>
  <c r="D88" i="3"/>
  <c r="D89" i="3"/>
  <c r="D90" i="3"/>
  <c r="D85" i="3"/>
  <c r="D83"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9" i="3"/>
  <c r="D7" i="3"/>
  <c r="D4" i="3"/>
  <c r="CL90" i="52"/>
  <c r="CK90" i="52"/>
  <c r="CL89" i="52"/>
  <c r="CK89" i="52"/>
  <c r="CL88" i="52"/>
  <c r="CK88" i="52"/>
  <c r="CL87" i="52"/>
  <c r="CK87" i="52"/>
  <c r="CL86" i="52"/>
  <c r="CK86" i="52"/>
  <c r="CL85" i="52"/>
  <c r="CK85" i="52"/>
  <c r="CL84" i="52"/>
  <c r="CK84" i="52"/>
  <c r="CL83" i="52"/>
  <c r="CK83" i="52"/>
  <c r="CL82" i="52"/>
  <c r="CK82" i="52"/>
  <c r="CL81" i="52"/>
  <c r="CK81" i="52"/>
  <c r="CL80" i="52"/>
  <c r="CK80" i="52"/>
  <c r="CL79" i="52"/>
  <c r="CK79" i="52"/>
  <c r="CL78" i="52"/>
  <c r="CK78" i="52"/>
  <c r="CL77" i="52"/>
  <c r="CK77" i="52"/>
  <c r="CL76" i="52"/>
  <c r="CK76" i="52"/>
  <c r="CL75" i="52"/>
  <c r="CK75" i="52"/>
  <c r="CL74" i="52"/>
  <c r="CK74" i="52"/>
  <c r="CL73" i="52"/>
  <c r="CK73" i="52"/>
  <c r="CL72" i="52"/>
  <c r="CK72" i="52"/>
  <c r="CL71" i="52"/>
  <c r="CK71" i="52"/>
  <c r="CL70" i="52"/>
  <c r="CK70" i="52"/>
  <c r="CL69" i="52"/>
  <c r="CK69" i="52"/>
  <c r="CL68" i="52"/>
  <c r="CK68" i="52"/>
  <c r="CL67" i="52"/>
  <c r="CK67" i="52"/>
  <c r="CL66" i="52"/>
  <c r="CK66" i="52"/>
  <c r="CL65" i="52"/>
  <c r="CK65" i="52"/>
  <c r="CL64" i="52"/>
  <c r="CK64" i="52"/>
  <c r="CL63" i="52"/>
  <c r="CK63" i="52"/>
  <c r="CL62" i="52"/>
  <c r="CK62" i="52"/>
  <c r="CL61" i="52"/>
  <c r="CK61" i="52"/>
  <c r="CL60" i="52"/>
  <c r="CK60" i="52"/>
  <c r="CL59" i="52"/>
  <c r="CK59" i="52"/>
  <c r="CL58" i="52"/>
  <c r="CK58" i="52"/>
  <c r="CL57" i="52"/>
  <c r="CK57" i="52"/>
  <c r="CL56" i="52"/>
  <c r="CK56" i="52"/>
  <c r="CL55" i="52"/>
  <c r="CK55" i="52"/>
  <c r="CL54" i="52"/>
  <c r="CK54" i="52"/>
  <c r="CL53" i="52"/>
  <c r="CK53" i="52"/>
  <c r="CL52" i="52"/>
  <c r="CK52" i="52"/>
  <c r="CL51" i="52"/>
  <c r="CK51" i="52"/>
  <c r="CL50" i="52"/>
  <c r="CK50" i="52"/>
  <c r="CL49" i="52"/>
  <c r="CK49" i="52"/>
  <c r="CL48" i="52"/>
  <c r="CK48" i="52"/>
  <c r="CL47" i="52"/>
  <c r="CK47" i="52"/>
  <c r="CL46" i="52"/>
  <c r="CK46" i="52"/>
  <c r="CL45" i="52"/>
  <c r="CK45" i="52"/>
  <c r="CL44" i="52"/>
  <c r="CK44" i="52"/>
  <c r="CL43" i="52"/>
  <c r="CK43" i="52"/>
  <c r="CL42" i="52"/>
  <c r="CK42" i="52"/>
  <c r="CL41" i="52"/>
  <c r="CK41" i="52"/>
  <c r="CL40" i="52"/>
  <c r="CK40" i="52"/>
  <c r="CL39" i="52"/>
  <c r="CK39" i="52"/>
  <c r="CL38" i="52"/>
  <c r="CK38" i="52"/>
  <c r="CL37" i="52"/>
  <c r="CK37" i="52"/>
  <c r="CL36" i="52"/>
  <c r="CK36" i="52"/>
  <c r="CL35" i="52"/>
  <c r="CK35" i="52"/>
  <c r="CL34" i="52"/>
  <c r="CK34" i="52"/>
  <c r="CL33" i="52"/>
  <c r="CK33" i="52"/>
  <c r="CL32" i="52"/>
  <c r="CK32" i="52"/>
  <c r="CL31" i="52"/>
  <c r="CK31" i="52"/>
  <c r="CL30" i="52"/>
  <c r="CK30" i="52"/>
  <c r="CL29" i="52"/>
  <c r="CK29" i="52"/>
  <c r="CL28" i="52"/>
  <c r="CK28" i="52"/>
  <c r="CL27" i="52"/>
  <c r="CK27" i="52"/>
  <c r="CL26" i="52"/>
  <c r="CK26" i="52"/>
  <c r="CL25" i="52"/>
  <c r="CK25" i="52"/>
  <c r="CL24" i="52"/>
  <c r="CK24" i="52"/>
  <c r="CL23" i="52"/>
  <c r="CK23" i="52"/>
  <c r="CL22" i="52"/>
  <c r="CK22" i="52"/>
  <c r="CL21" i="52"/>
  <c r="CK21" i="52"/>
  <c r="CL20" i="52"/>
  <c r="CK20" i="52"/>
  <c r="CL19" i="52"/>
  <c r="CK19" i="52"/>
  <c r="CL18" i="52"/>
  <c r="CK18" i="52"/>
  <c r="CL17" i="52"/>
  <c r="CK17" i="52"/>
  <c r="CL16" i="52"/>
  <c r="CK16" i="52"/>
  <c r="CL15" i="52"/>
  <c r="CK15" i="52"/>
  <c r="CL14" i="52"/>
  <c r="CK14" i="52"/>
  <c r="CL13" i="52"/>
  <c r="CK13" i="52"/>
  <c r="CL12" i="52"/>
  <c r="CK12" i="52"/>
  <c r="CL11" i="52"/>
  <c r="CK11" i="52"/>
  <c r="CL10" i="52"/>
  <c r="CK10" i="52"/>
  <c r="CL9" i="52"/>
  <c r="CK9" i="52"/>
  <c r="CL8" i="52"/>
  <c r="CK8" i="52"/>
  <c r="CL7" i="52"/>
  <c r="CK7" i="52"/>
  <c r="CL6" i="52"/>
  <c r="CK6" i="52"/>
  <c r="CL5" i="52"/>
  <c r="CK5" i="52"/>
  <c r="CL4" i="52"/>
  <c r="CK4" i="52"/>
  <c r="BI61" i="3" l="1"/>
  <c r="BI37" i="3"/>
  <c r="BI21" i="3"/>
  <c r="U110" i="3"/>
  <c r="DW8" i="3"/>
  <c r="DW100" i="3" s="1"/>
  <c r="DW82" i="3"/>
  <c r="DW101" i="3" s="1"/>
  <c r="DW98" i="3"/>
  <c r="DW105" i="3" s="1"/>
  <c r="BI85" i="3"/>
  <c r="BI79" i="3"/>
  <c r="BI71" i="3"/>
  <c r="BI63" i="3"/>
  <c r="BI55" i="3"/>
  <c r="BI47" i="3"/>
  <c r="BI39" i="3"/>
  <c r="BI31" i="3"/>
  <c r="BI23" i="3"/>
  <c r="BI15" i="3"/>
  <c r="BI90" i="3"/>
  <c r="BI96" i="3"/>
  <c r="DW84" i="3"/>
  <c r="DW102" i="3" s="1"/>
  <c r="DV84" i="3"/>
  <c r="DV102" i="3" s="1"/>
  <c r="BI53" i="3"/>
  <c r="BI88" i="3"/>
  <c r="DW91" i="3"/>
  <c r="DW103" i="3" s="1"/>
  <c r="BI77" i="3"/>
  <c r="BI45" i="3"/>
  <c r="BI13" i="3"/>
  <c r="CH5" i="3"/>
  <c r="BI69" i="3"/>
  <c r="BI29" i="3"/>
  <c r="BI75" i="3"/>
  <c r="BI67" i="3"/>
  <c r="BI59" i="3"/>
  <c r="BI51" i="3"/>
  <c r="BI43" i="3"/>
  <c r="BI35" i="3"/>
  <c r="BI27" i="3"/>
  <c r="BI19" i="3"/>
  <c r="BI11" i="3"/>
  <c r="BI86" i="3"/>
  <c r="BI6" i="3"/>
  <c r="DN6" i="3" s="1"/>
  <c r="CX4" i="3"/>
  <c r="DW95" i="3"/>
  <c r="DW104" i="3" s="1"/>
  <c r="DV95" i="3"/>
  <c r="DV104" i="3" s="1"/>
  <c r="CH4" i="3"/>
  <c r="BI4" i="3"/>
  <c r="BI76" i="3"/>
  <c r="BI68" i="3"/>
  <c r="BI60" i="3"/>
  <c r="BI52" i="3"/>
  <c r="BI44" i="3"/>
  <c r="BI36" i="3"/>
  <c r="BI28" i="3"/>
  <c r="BI20" i="3"/>
  <c r="BI12" i="3"/>
  <c r="BI87" i="3"/>
  <c r="BL5" i="3"/>
  <c r="BI5" i="3"/>
  <c r="CX5" i="3"/>
  <c r="BN5" i="3"/>
  <c r="BI66" i="3"/>
  <c r="BI50" i="3"/>
  <c r="BI26" i="3"/>
  <c r="BI10" i="3"/>
  <c r="BP5" i="3"/>
  <c r="BI58" i="3"/>
  <c r="BI42" i="3"/>
  <c r="BI34" i="3"/>
  <c r="BI18" i="3"/>
  <c r="BI92" i="3"/>
  <c r="BI81" i="3"/>
  <c r="BI73" i="3"/>
  <c r="BI65" i="3"/>
  <c r="BI57" i="3"/>
  <c r="BI49" i="3"/>
  <c r="BI41" i="3"/>
  <c r="BI33" i="3"/>
  <c r="BI25" i="3"/>
  <c r="BI17" i="3"/>
  <c r="BI83" i="3"/>
  <c r="BI94" i="3"/>
  <c r="BR5" i="3"/>
  <c r="BQ5" i="3"/>
  <c r="BI74" i="3"/>
  <c r="BI80" i="3"/>
  <c r="BI72" i="3"/>
  <c r="BI64" i="3"/>
  <c r="BI56" i="3"/>
  <c r="BI48" i="3"/>
  <c r="BI40" i="3"/>
  <c r="BI32" i="3"/>
  <c r="BI24" i="3"/>
  <c r="BI16" i="3"/>
  <c r="BI93" i="3"/>
  <c r="BT5" i="3"/>
  <c r="U5" i="3"/>
  <c r="BC5" i="3" s="1"/>
  <c r="BW5" i="3" s="1"/>
  <c r="BI7" i="3"/>
  <c r="BI78" i="3"/>
  <c r="BI70" i="3"/>
  <c r="BI62" i="3"/>
  <c r="BI54" i="3"/>
  <c r="BI46" i="3"/>
  <c r="BI38" i="3"/>
  <c r="BI30" i="3"/>
  <c r="BI22" i="3"/>
  <c r="BI14" i="3"/>
  <c r="BI89" i="3"/>
  <c r="BI97" i="3"/>
  <c r="CQ5" i="3"/>
  <c r="CY5" i="3"/>
  <c r="DX5" i="3"/>
  <c r="BV6" i="3"/>
  <c r="CD6" i="3"/>
  <c r="CP6" i="3"/>
  <c r="DX6" i="3"/>
  <c r="BX6" i="3"/>
  <c r="CT6" i="3"/>
  <c r="BD5" i="3"/>
  <c r="CC5" i="3"/>
  <c r="DQ5" i="3"/>
  <c r="BZ6" i="3"/>
  <c r="BL6" i="3"/>
  <c r="DC6" i="3"/>
  <c r="CE5" i="3"/>
  <c r="CM5" i="3"/>
  <c r="BN6" i="3"/>
  <c r="BC6" i="3"/>
  <c r="BK6" i="3" s="1"/>
  <c r="DF6" i="3"/>
  <c r="CN5" i="3"/>
  <c r="CV5" i="3"/>
  <c r="BP6" i="3"/>
  <c r="CX6" i="3"/>
  <c r="DU6" i="3"/>
  <c r="BR6" i="3"/>
  <c r="CC6" i="3"/>
  <c r="BS6" i="3"/>
  <c r="DP6" i="3"/>
  <c r="BD6" i="3"/>
  <c r="DL6" i="3" s="1"/>
  <c r="CL6" i="3"/>
  <c r="BW6" i="3"/>
  <c r="CE6" i="3"/>
  <c r="DK6" i="3"/>
  <c r="CN6" i="3"/>
  <c r="BQ6" i="3"/>
  <c r="BY6" i="3"/>
  <c r="CH6" i="3"/>
  <c r="CU6" i="3" l="1"/>
  <c r="CY6" i="3"/>
  <c r="CM6" i="3"/>
  <c r="CJ6" i="3"/>
  <c r="DV91" i="3"/>
  <c r="DV103" i="3" s="1"/>
  <c r="DV8" i="3"/>
  <c r="DV100" i="3" s="1"/>
  <c r="CI6" i="3"/>
  <c r="CQ6" i="3"/>
  <c r="DQ6" i="3"/>
  <c r="DD6" i="3"/>
  <c r="DJ6" i="3"/>
  <c r="DG6" i="3"/>
  <c r="DV98" i="3"/>
  <c r="DV105" i="3" s="1"/>
  <c r="DV82" i="3"/>
  <c r="DV101" i="3" s="1"/>
  <c r="CF5" i="3"/>
  <c r="BM5" i="3"/>
  <c r="BE5" i="3"/>
  <c r="BG5" i="3" s="1"/>
  <c r="BS5" i="3"/>
  <c r="BO5" i="3"/>
  <c r="DY5" i="3"/>
  <c r="BY5" i="3"/>
  <c r="BU5" i="3"/>
  <c r="BK5" i="3"/>
  <c r="DK5" i="3"/>
  <c r="CR5" i="3"/>
  <c r="CA5" i="3"/>
  <c r="DG5" i="3"/>
  <c r="DN5" i="3"/>
  <c r="CI5" i="3"/>
  <c r="CA6" i="3"/>
  <c r="DD5" i="3"/>
  <c r="CU5" i="3"/>
  <c r="CJ5" i="3"/>
  <c r="DJ5" i="3"/>
  <c r="CG5" i="3"/>
  <c r="CW5" i="3"/>
  <c r="DL5" i="3"/>
  <c r="CS5" i="3"/>
  <c r="DE5" i="3"/>
  <c r="DZ5" i="3"/>
  <c r="CZ5" i="3"/>
  <c r="DY6" i="3"/>
  <c r="CF6" i="3"/>
  <c r="CO5" i="3"/>
  <c r="DT5" i="3"/>
  <c r="DH5" i="3"/>
  <c r="CK5" i="3"/>
  <c r="DB5" i="3"/>
  <c r="BM6" i="3"/>
  <c r="CR6" i="3"/>
  <c r="BU6" i="3"/>
  <c r="DR5" i="3"/>
  <c r="DO5" i="3"/>
  <c r="CV6" i="3"/>
  <c r="BO6" i="3"/>
  <c r="CS6" i="3"/>
  <c r="DO6" i="3"/>
  <c r="DE6" i="3"/>
  <c r="DZ6" i="3"/>
  <c r="CW6" i="3"/>
  <c r="BE6" i="3"/>
  <c r="BG6" i="3" s="1"/>
  <c r="CO6" i="3"/>
  <c r="CG6" i="3"/>
  <c r="DR6" i="3"/>
  <c r="DH6" i="3"/>
  <c r="DB6" i="3"/>
  <c r="CZ6" i="3"/>
  <c r="DT6" i="3"/>
  <c r="CK6" i="3"/>
  <c r="D2" i="14" l="1"/>
  <c r="D47" i="14" s="1"/>
  <c r="E2" i="14"/>
  <c r="F2" i="14"/>
  <c r="DX7" i="3"/>
  <c r="BP88" i="3"/>
  <c r="BP21" i="3"/>
  <c r="BT29" i="3"/>
  <c r="BL37" i="3"/>
  <c r="BX45" i="3"/>
  <c r="BV60" i="3"/>
  <c r="CD68" i="3"/>
  <c r="BT76" i="3"/>
  <c r="EA96" i="3"/>
  <c r="EA38" i="3"/>
  <c r="EA50" i="3"/>
  <c r="EA59" i="3"/>
  <c r="EA42" i="3"/>
  <c r="DX71" i="3"/>
  <c r="EA63" i="3"/>
  <c r="DX73" i="3"/>
  <c r="DX72" i="3"/>
  <c r="DX39" i="3"/>
  <c r="EA16" i="3"/>
  <c r="DX56" i="3"/>
  <c r="DX11" i="3"/>
  <c r="DX57" i="3"/>
  <c r="DQ61" i="3"/>
  <c r="CE88" i="3"/>
  <c r="DX92" i="3"/>
  <c r="BF103" i="3"/>
  <c r="BB103" i="3"/>
  <c r="BB82" i="3"/>
  <c r="BA103" i="3"/>
  <c r="AZ91" i="3"/>
  <c r="AY103" i="3"/>
  <c r="AX103" i="3"/>
  <c r="AW98" i="3"/>
  <c r="AW103" i="3"/>
  <c r="AV98" i="3"/>
  <c r="DS94" i="3"/>
  <c r="DQ90" i="3"/>
  <c r="DQ83" i="3"/>
  <c r="DQ84" i="3" s="1"/>
  <c r="DQ102" i="3" s="1"/>
  <c r="DS15" i="3"/>
  <c r="DS23" i="3"/>
  <c r="DQ24" i="3"/>
  <c r="DQ25" i="3"/>
  <c r="DQ31" i="3"/>
  <c r="DQ32" i="3"/>
  <c r="DQ39" i="3"/>
  <c r="DS40" i="3"/>
  <c r="DS41" i="3"/>
  <c r="DS47" i="3"/>
  <c r="DQ49" i="3"/>
  <c r="DQ55" i="3"/>
  <c r="DS57" i="3"/>
  <c r="DQ60" i="3"/>
  <c r="DQ62" i="3"/>
  <c r="DS64" i="3"/>
  <c r="DS70" i="3"/>
  <c r="DS78" i="3"/>
  <c r="DS79" i="3"/>
  <c r="DS80" i="3"/>
  <c r="AU103" i="3"/>
  <c r="AU84" i="3"/>
  <c r="AU102" i="3" s="1"/>
  <c r="DU94" i="3"/>
  <c r="DU83" i="3"/>
  <c r="DU84" i="3" s="1"/>
  <c r="DU102" i="3" s="1"/>
  <c r="DU10" i="3"/>
  <c r="DU17" i="3"/>
  <c r="DU18" i="3"/>
  <c r="DU20" i="3"/>
  <c r="DU24" i="3"/>
  <c r="DU25" i="3"/>
  <c r="DU32" i="3"/>
  <c r="DU33" i="3"/>
  <c r="DU40" i="3"/>
  <c r="DU41" i="3"/>
  <c r="DU42" i="3"/>
  <c r="DU48" i="3"/>
  <c r="DU49" i="3"/>
  <c r="DU50" i="3"/>
  <c r="DU57" i="3"/>
  <c r="DU58" i="3"/>
  <c r="DU63" i="3"/>
  <c r="DU64" i="3"/>
  <c r="DU71" i="3"/>
  <c r="DU72" i="3"/>
  <c r="DU73" i="3"/>
  <c r="DU75" i="3"/>
  <c r="DU79" i="3"/>
  <c r="DU80" i="3"/>
  <c r="DU81" i="3"/>
  <c r="AS105" i="3"/>
  <c r="AS104" i="3"/>
  <c r="AR84" i="3"/>
  <c r="AR102" i="3" s="1"/>
  <c r="DN87" i="3"/>
  <c r="DN85" i="3"/>
  <c r="DN12" i="3"/>
  <c r="DN20" i="3"/>
  <c r="DN21" i="3"/>
  <c r="DN25" i="3"/>
  <c r="DP28" i="3"/>
  <c r="DN33" i="3"/>
  <c r="DP36" i="3"/>
  <c r="DN37" i="3"/>
  <c r="DN39" i="3"/>
  <c r="DP43" i="3"/>
  <c r="DN44" i="3"/>
  <c r="DN51" i="3"/>
  <c r="DN52" i="3"/>
  <c r="DN53" i="3"/>
  <c r="DP59" i="3"/>
  <c r="DP66" i="3"/>
  <c r="DN67" i="3"/>
  <c r="DN68" i="3"/>
  <c r="DP74" i="3"/>
  <c r="DP75" i="3"/>
  <c r="DN7" i="3"/>
  <c r="AP8" i="3"/>
  <c r="AO103" i="3"/>
  <c r="AO84" i="3"/>
  <c r="AO102" i="3" s="1"/>
  <c r="AN98" i="3"/>
  <c r="DM90" i="3"/>
  <c r="DJ85" i="3"/>
  <c r="DM15" i="3"/>
  <c r="DJ23" i="3"/>
  <c r="DJ24" i="3"/>
  <c r="DJ28" i="3"/>
  <c r="DM31" i="3"/>
  <c r="DJ32" i="3"/>
  <c r="DJ39" i="3"/>
  <c r="DJ40" i="3"/>
  <c r="DJ47" i="3"/>
  <c r="DJ48" i="3"/>
  <c r="DJ55" i="3"/>
  <c r="DM56" i="3"/>
  <c r="DJ62" i="3"/>
  <c r="DM70" i="3"/>
  <c r="DJ71" i="3"/>
  <c r="DJ78" i="3"/>
  <c r="DJ79" i="3"/>
  <c r="DJ4" i="3"/>
  <c r="DI93" i="3"/>
  <c r="DG85" i="3"/>
  <c r="AM84" i="3"/>
  <c r="AM102" i="3" s="1"/>
  <c r="DI11" i="3"/>
  <c r="DG16" i="3"/>
  <c r="DI18" i="3"/>
  <c r="DI22" i="3"/>
  <c r="DI24" i="3"/>
  <c r="DG31" i="3"/>
  <c r="DI32" i="3"/>
  <c r="DI34" i="3"/>
  <c r="DI40" i="3"/>
  <c r="DI48" i="3"/>
  <c r="DI50" i="3"/>
  <c r="DG55" i="3"/>
  <c r="DI56" i="3"/>
  <c r="DI58" i="3"/>
  <c r="DG62" i="3"/>
  <c r="DG63" i="3"/>
  <c r="DG70" i="3"/>
  <c r="DI71" i="3"/>
  <c r="DI72" i="3"/>
  <c r="DG79" i="3"/>
  <c r="DI80" i="3"/>
  <c r="AL84" i="3"/>
  <c r="AL102" i="3" s="1"/>
  <c r="DD92" i="3"/>
  <c r="DD86" i="3"/>
  <c r="DF10" i="3"/>
  <c r="DF11" i="3"/>
  <c r="DD15" i="3"/>
  <c r="DD17" i="3"/>
  <c r="DD18" i="3"/>
  <c r="DF26" i="3"/>
  <c r="DF27" i="3"/>
  <c r="DF28" i="3"/>
  <c r="DD33" i="3"/>
  <c r="DD34" i="3"/>
  <c r="DF42" i="3"/>
  <c r="DD44" i="3"/>
  <c r="DF50" i="3"/>
  <c r="DD52" i="3"/>
  <c r="DD58" i="3"/>
  <c r="DF65" i="3"/>
  <c r="DF70" i="3"/>
  <c r="DD73" i="3"/>
  <c r="DD74" i="3"/>
  <c r="DF81" i="3"/>
  <c r="DC87" i="3"/>
  <c r="DC11" i="3"/>
  <c r="DC12" i="3"/>
  <c r="DC19" i="3"/>
  <c r="DC20" i="3"/>
  <c r="DC28" i="3"/>
  <c r="DC35" i="3"/>
  <c r="DC36" i="3"/>
  <c r="DC38" i="3"/>
  <c r="DC44" i="3"/>
  <c r="DC51" i="3"/>
  <c r="DC59" i="3"/>
  <c r="DC66" i="3"/>
  <c r="DC67" i="3"/>
  <c r="DC74" i="3"/>
  <c r="DC75" i="3"/>
  <c r="DC7" i="3"/>
  <c r="AH84" i="3"/>
  <c r="AH102" i="3" s="1"/>
  <c r="AH8" i="3"/>
  <c r="DA97" i="3"/>
  <c r="DA89" i="3"/>
  <c r="DA90" i="3"/>
  <c r="DA85" i="3"/>
  <c r="DA15" i="3"/>
  <c r="DA19" i="3"/>
  <c r="CY22" i="3"/>
  <c r="DA27" i="3"/>
  <c r="CY30" i="3"/>
  <c r="CY31" i="3"/>
  <c r="CY33" i="3"/>
  <c r="CY38" i="3"/>
  <c r="CY41" i="3"/>
  <c r="CY45" i="3"/>
  <c r="DA46" i="3"/>
  <c r="DA47" i="3"/>
  <c r="DA50" i="3"/>
  <c r="CY53" i="3"/>
  <c r="CY54" i="3"/>
  <c r="CY58" i="3"/>
  <c r="CY60" i="3"/>
  <c r="CY61" i="3"/>
  <c r="DA69" i="3"/>
  <c r="DA77" i="3"/>
  <c r="CY7" i="3"/>
  <c r="AF98" i="3"/>
  <c r="AF84" i="3"/>
  <c r="AF102" i="3" s="1"/>
  <c r="AD84" i="3"/>
  <c r="AD102" i="3" s="1"/>
  <c r="AC84" i="3"/>
  <c r="AC102" i="3" s="1"/>
  <c r="CU19" i="3"/>
  <c r="BD66" i="3"/>
  <c r="CS66" i="3" s="1"/>
  <c r="AA84" i="3"/>
  <c r="AA102" i="3" s="1"/>
  <c r="CX12" i="3"/>
  <c r="CQ86" i="3"/>
  <c r="CT88" i="3"/>
  <c r="CT13" i="3"/>
  <c r="CQ15" i="3"/>
  <c r="CQ17" i="3"/>
  <c r="CQ21" i="3"/>
  <c r="CQ22" i="3"/>
  <c r="CQ25" i="3"/>
  <c r="CT28" i="3"/>
  <c r="CT32" i="3"/>
  <c r="CQ33" i="3"/>
  <c r="CQ36" i="3"/>
  <c r="CQ37" i="3"/>
  <c r="CQ40" i="3"/>
  <c r="CQ44" i="3"/>
  <c r="CQ45" i="3"/>
  <c r="CQ47" i="3"/>
  <c r="CQ55" i="3"/>
  <c r="CT60" i="3"/>
  <c r="CQ65" i="3"/>
  <c r="CT66" i="3"/>
  <c r="CQ69" i="3"/>
  <c r="CQ70" i="3"/>
  <c r="CQ76" i="3"/>
  <c r="CQ77" i="3"/>
  <c r="CT81" i="3"/>
  <c r="CT4" i="3"/>
  <c r="CP97" i="3"/>
  <c r="CM89" i="3"/>
  <c r="CM83" i="3"/>
  <c r="CM84" i="3" s="1"/>
  <c r="CM102" i="3" s="1"/>
  <c r="CM13" i="3"/>
  <c r="CM19" i="3"/>
  <c r="CM21" i="3"/>
  <c r="CM24" i="3"/>
  <c r="CM25" i="3"/>
  <c r="CM32" i="3"/>
  <c r="CM36" i="3"/>
  <c r="CM40" i="3"/>
  <c r="CM44" i="3"/>
  <c r="CM46" i="3"/>
  <c r="CM48" i="3"/>
  <c r="CM52" i="3"/>
  <c r="CM53" i="3"/>
  <c r="CX54" i="3"/>
  <c r="CM56" i="3"/>
  <c r="CM59" i="3"/>
  <c r="CP61" i="3"/>
  <c r="CM63" i="3"/>
  <c r="CM67" i="3"/>
  <c r="CP69" i="3"/>
  <c r="CP70" i="3"/>
  <c r="CM76" i="3"/>
  <c r="CM4" i="3"/>
  <c r="CL96" i="3"/>
  <c r="X103" i="3"/>
  <c r="CL14" i="3"/>
  <c r="CI15" i="3"/>
  <c r="CI17" i="3"/>
  <c r="CI19" i="3"/>
  <c r="CI23" i="3"/>
  <c r="CI25" i="3"/>
  <c r="CL30" i="3"/>
  <c r="CI34" i="3"/>
  <c r="CL38" i="3"/>
  <c r="CI39" i="3"/>
  <c r="CL62" i="3"/>
  <c r="CX70" i="3"/>
  <c r="CL71" i="3"/>
  <c r="CX78" i="3"/>
  <c r="CI4" i="3"/>
  <c r="CU85" i="3"/>
  <c r="CE16" i="3"/>
  <c r="CX32" i="3"/>
  <c r="CH48" i="3"/>
  <c r="CE63" i="3"/>
  <c r="CH79" i="3"/>
  <c r="CH97" i="3"/>
  <c r="CE94" i="3"/>
  <c r="CE41" i="3"/>
  <c r="CE49" i="3"/>
  <c r="CH54" i="3"/>
  <c r="CE72" i="3"/>
  <c r="CH80" i="3"/>
  <c r="EF104" i="3"/>
  <c r="EE95" i="3"/>
  <c r="ED103" i="3"/>
  <c r="ED84" i="3"/>
  <c r="ED102" i="3" s="1"/>
  <c r="U66" i="3"/>
  <c r="U12" i="3"/>
  <c r="U20" i="3"/>
  <c r="BC20" i="3" s="1"/>
  <c r="U36" i="3"/>
  <c r="U44" i="3"/>
  <c r="U52" i="3"/>
  <c r="BC52" i="3" s="1"/>
  <c r="U59" i="3"/>
  <c r="T84" i="3"/>
  <c r="T102" i="3" s="1"/>
  <c r="T100" i="3"/>
  <c r="R84" i="3"/>
  <c r="R102" i="3" s="1"/>
  <c r="CD93" i="3"/>
  <c r="Q84" i="3"/>
  <c r="Q102" i="3" s="1"/>
  <c r="CD12" i="3"/>
  <c r="CD14" i="3"/>
  <c r="CD16" i="3"/>
  <c r="CD20" i="3"/>
  <c r="CD24" i="3"/>
  <c r="CD26" i="3"/>
  <c r="CD28" i="3"/>
  <c r="CD32" i="3"/>
  <c r="CD34" i="3"/>
  <c r="CD35" i="3"/>
  <c r="CD36" i="3"/>
  <c r="CD37" i="3"/>
  <c r="CD40" i="3"/>
  <c r="CD41" i="3"/>
  <c r="CD42" i="3"/>
  <c r="CD44" i="3"/>
  <c r="CD48" i="3"/>
  <c r="CD49" i="3"/>
  <c r="CD50" i="3"/>
  <c r="CD52" i="3"/>
  <c r="CD55" i="3"/>
  <c r="CD58" i="3"/>
  <c r="CD59" i="3"/>
  <c r="CD62" i="3"/>
  <c r="CD63" i="3"/>
  <c r="CD66" i="3"/>
  <c r="CD67" i="3"/>
  <c r="CD70" i="3"/>
  <c r="CD71" i="3"/>
  <c r="CD74" i="3"/>
  <c r="CD75" i="3"/>
  <c r="CD78" i="3"/>
  <c r="P98" i="3"/>
  <c r="CB86" i="3"/>
  <c r="CB83" i="3"/>
  <c r="CB84" i="3" s="1"/>
  <c r="CB102" i="3" s="1"/>
  <c r="CB11" i="3"/>
  <c r="CB12" i="3"/>
  <c r="CB16" i="3"/>
  <c r="CB17" i="3"/>
  <c r="CB19" i="3"/>
  <c r="CB20" i="3"/>
  <c r="CB22" i="3"/>
  <c r="CB25" i="3"/>
  <c r="CB27" i="3"/>
  <c r="CB28" i="3"/>
  <c r="CB30" i="3"/>
  <c r="CB32" i="3"/>
  <c r="CB33" i="3"/>
  <c r="CB34" i="3"/>
  <c r="CB35" i="3"/>
  <c r="CB39" i="3"/>
  <c r="CB41" i="3"/>
  <c r="CB42" i="3"/>
  <c r="CB43" i="3"/>
  <c r="CB46" i="3"/>
  <c r="CB48" i="3"/>
  <c r="CB49" i="3"/>
  <c r="CB56" i="3"/>
  <c r="CB61" i="3"/>
  <c r="CB62" i="3"/>
  <c r="CB64" i="3"/>
  <c r="CB65" i="3"/>
  <c r="CB66" i="3"/>
  <c r="CB69" i="3"/>
  <c r="CB70" i="3"/>
  <c r="CB72" i="3"/>
  <c r="CB73" i="3"/>
  <c r="CB74" i="3"/>
  <c r="CB75" i="3"/>
  <c r="CB78" i="3"/>
  <c r="CB80" i="3"/>
  <c r="CB81" i="3"/>
  <c r="O104" i="3"/>
  <c r="O84" i="3"/>
  <c r="O102" i="3" s="1"/>
  <c r="N84" i="3"/>
  <c r="N102" i="3" s="1"/>
  <c r="N82" i="3"/>
  <c r="M91" i="3"/>
  <c r="M84" i="3"/>
  <c r="M102" i="3" s="1"/>
  <c r="M100" i="3"/>
  <c r="L84" i="3"/>
  <c r="L102" i="3" s="1"/>
  <c r="L82" i="3"/>
  <c r="BZ18" i="3"/>
  <c r="K98" i="3"/>
  <c r="BZ19" i="3"/>
  <c r="BZ27" i="3"/>
  <c r="BZ28" i="3"/>
  <c r="BZ43" i="3"/>
  <c r="BZ69" i="3"/>
  <c r="BZ75" i="3"/>
  <c r="BX97" i="3"/>
  <c r="BX86" i="3"/>
  <c r="BX87" i="3"/>
  <c r="BX89" i="3"/>
  <c r="BX90" i="3"/>
  <c r="J84" i="3"/>
  <c r="J102" i="3" s="1"/>
  <c r="BX10" i="3"/>
  <c r="BX12" i="3"/>
  <c r="BX14" i="3"/>
  <c r="BX15" i="3"/>
  <c r="BX18" i="3"/>
  <c r="BX19" i="3"/>
  <c r="BX20" i="3"/>
  <c r="BX22" i="3"/>
  <c r="BX23" i="3"/>
  <c r="BX28" i="3"/>
  <c r="BX30" i="3"/>
  <c r="BX31" i="3"/>
  <c r="BX32" i="3"/>
  <c r="BX33" i="3"/>
  <c r="BX35" i="3"/>
  <c r="BX38" i="3"/>
  <c r="BX39" i="3"/>
  <c r="BX40" i="3"/>
  <c r="BX42" i="3"/>
  <c r="BX43" i="3"/>
  <c r="BX46" i="3"/>
  <c r="BX51" i="3"/>
  <c r="BX54" i="3"/>
  <c r="BX56" i="3"/>
  <c r="BX57" i="3"/>
  <c r="BX58" i="3"/>
  <c r="BX61" i="3"/>
  <c r="BX62" i="3"/>
  <c r="BX65" i="3"/>
  <c r="BX67" i="3"/>
  <c r="BX69" i="3"/>
  <c r="BX70" i="3"/>
  <c r="BX72" i="3"/>
  <c r="BX73" i="3"/>
  <c r="BX75" i="3"/>
  <c r="BX77" i="3"/>
  <c r="BX78" i="3"/>
  <c r="BX80" i="3"/>
  <c r="BX81" i="3"/>
  <c r="BV94" i="3"/>
  <c r="BV92" i="3"/>
  <c r="BV86" i="3"/>
  <c r="BV87" i="3"/>
  <c r="I91" i="3"/>
  <c r="BV83" i="3"/>
  <c r="BV84" i="3" s="1"/>
  <c r="BV102" i="3" s="1"/>
  <c r="BV11" i="3"/>
  <c r="BV12" i="3"/>
  <c r="BV14" i="3"/>
  <c r="BV15" i="3"/>
  <c r="BV16" i="3"/>
  <c r="BV18" i="3"/>
  <c r="BV19" i="3"/>
  <c r="BV22" i="3"/>
  <c r="BV24" i="3"/>
  <c r="BV25" i="3"/>
  <c r="BV28" i="3"/>
  <c r="BV30" i="3"/>
  <c r="BV32" i="3"/>
  <c r="BV33" i="3"/>
  <c r="BV34" i="3"/>
  <c r="BV41" i="3"/>
  <c r="BV44" i="3"/>
  <c r="BV46" i="3"/>
  <c r="BV49" i="3"/>
  <c r="BV52" i="3"/>
  <c r="BV54" i="3"/>
  <c r="BV57" i="3"/>
  <c r="BV58" i="3"/>
  <c r="BV59" i="3"/>
  <c r="BV61" i="3"/>
  <c r="BV64" i="3"/>
  <c r="BV65" i="3"/>
  <c r="BV66" i="3"/>
  <c r="BV69" i="3"/>
  <c r="BV70" i="3"/>
  <c r="BV72" i="3"/>
  <c r="BV73" i="3"/>
  <c r="BV74" i="3"/>
  <c r="BV7" i="3"/>
  <c r="BT97" i="3"/>
  <c r="H98" i="3"/>
  <c r="BT87" i="3"/>
  <c r="BT90" i="3"/>
  <c r="BT85" i="3"/>
  <c r="H84" i="3"/>
  <c r="H102" i="3" s="1"/>
  <c r="BT12" i="3"/>
  <c r="BT14" i="3"/>
  <c r="BT15" i="3"/>
  <c r="BT18" i="3"/>
  <c r="BT20" i="3"/>
  <c r="BT23" i="3"/>
  <c r="BT25" i="3"/>
  <c r="BT28" i="3"/>
  <c r="BT30" i="3"/>
  <c r="BT31" i="3"/>
  <c r="BT32" i="3"/>
  <c r="BT33" i="3"/>
  <c r="BT36" i="3"/>
  <c r="BT38" i="3"/>
  <c r="BT40" i="3"/>
  <c r="BT44" i="3"/>
  <c r="BT46" i="3"/>
  <c r="BT47" i="3"/>
  <c r="BT49" i="3"/>
  <c r="BT52" i="3"/>
  <c r="BT54" i="3"/>
  <c r="BT55" i="3"/>
  <c r="BT58" i="3"/>
  <c r="BT59" i="3"/>
  <c r="BT61" i="3"/>
  <c r="BT62" i="3"/>
  <c r="BT64" i="3"/>
  <c r="BT65" i="3"/>
  <c r="BT67" i="3"/>
  <c r="BT70" i="3"/>
  <c r="BT73" i="3"/>
  <c r="BT75" i="3"/>
  <c r="BT77" i="3"/>
  <c r="BT78" i="3"/>
  <c r="BT7" i="3"/>
  <c r="G104" i="3"/>
  <c r="BR86" i="3"/>
  <c r="BR87" i="3"/>
  <c r="BR88" i="3"/>
  <c r="BR90" i="3"/>
  <c r="BR85" i="3"/>
  <c r="BR11" i="3"/>
  <c r="BR12" i="3"/>
  <c r="BR14" i="3"/>
  <c r="BR16" i="3"/>
  <c r="BR17" i="3"/>
  <c r="BR19" i="3"/>
  <c r="BR23" i="3"/>
  <c r="BR25" i="3"/>
  <c r="BR28" i="3"/>
  <c r="BR30" i="3"/>
  <c r="BR31" i="3"/>
  <c r="BR32" i="3"/>
  <c r="BR34" i="3"/>
  <c r="BR35" i="3"/>
  <c r="BR36" i="3"/>
  <c r="BR39" i="3"/>
  <c r="BR41" i="3"/>
  <c r="BR42" i="3"/>
  <c r="BR43" i="3"/>
  <c r="BR44" i="3"/>
  <c r="BR47" i="3"/>
  <c r="BR49" i="3"/>
  <c r="BR50" i="3"/>
  <c r="BR51" i="3"/>
  <c r="BR52" i="3"/>
  <c r="BR54" i="3"/>
  <c r="BR55" i="3"/>
  <c r="BR56" i="3"/>
  <c r="BR57" i="3"/>
  <c r="BR58" i="3"/>
  <c r="BR61" i="3"/>
  <c r="BR62" i="3"/>
  <c r="BR64" i="3"/>
  <c r="BR65" i="3"/>
  <c r="BR66" i="3"/>
  <c r="BR67" i="3"/>
  <c r="BR70" i="3"/>
  <c r="BR71" i="3"/>
  <c r="BR72" i="3"/>
  <c r="BR73" i="3"/>
  <c r="BR74" i="3"/>
  <c r="BR75" i="3"/>
  <c r="BR78" i="3"/>
  <c r="BR79" i="3"/>
  <c r="BR80" i="3"/>
  <c r="BR4" i="3"/>
  <c r="BR7" i="3"/>
  <c r="BP86" i="3"/>
  <c r="BP87" i="3"/>
  <c r="BP90" i="3"/>
  <c r="BP85" i="3"/>
  <c r="BP11" i="3"/>
  <c r="BP12" i="3"/>
  <c r="BP18" i="3"/>
  <c r="BP19" i="3"/>
  <c r="BP20" i="3"/>
  <c r="BP22" i="3"/>
  <c r="BP23" i="3"/>
  <c r="BP26" i="3"/>
  <c r="BP27" i="3"/>
  <c r="BP28" i="3"/>
  <c r="BP30" i="3"/>
  <c r="BP31" i="3"/>
  <c r="BP32" i="3"/>
  <c r="BP34" i="3"/>
  <c r="BP35" i="3"/>
  <c r="BP39" i="3"/>
  <c r="BP40" i="3"/>
  <c r="BP42" i="3"/>
  <c r="BP46" i="3"/>
  <c r="BP47" i="3"/>
  <c r="BP49" i="3"/>
  <c r="BP50" i="3"/>
  <c r="BP54" i="3"/>
  <c r="BP55" i="3"/>
  <c r="BP56" i="3"/>
  <c r="BP57" i="3"/>
  <c r="BP58" i="3"/>
  <c r="BP61" i="3"/>
  <c r="BP62" i="3"/>
  <c r="BP63" i="3"/>
  <c r="BP65" i="3"/>
  <c r="BP67" i="3"/>
  <c r="BP69" i="3"/>
  <c r="BP70" i="3"/>
  <c r="BP71" i="3"/>
  <c r="BP72" i="3"/>
  <c r="BP73" i="3"/>
  <c r="BP75" i="3"/>
  <c r="BP77" i="3"/>
  <c r="BP78" i="3"/>
  <c r="BP79" i="3"/>
  <c r="BP7" i="3"/>
  <c r="BN96" i="3"/>
  <c r="BN93" i="3"/>
  <c r="E95" i="3"/>
  <c r="BN92" i="3"/>
  <c r="BN87" i="3"/>
  <c r="BN89" i="3"/>
  <c r="BN90" i="3"/>
  <c r="BN83" i="3"/>
  <c r="BN84" i="3" s="1"/>
  <c r="BN102" i="3" s="1"/>
  <c r="BN30" i="3"/>
  <c r="BN32" i="3"/>
  <c r="BN36" i="3"/>
  <c r="BN39" i="3"/>
  <c r="BN40" i="3"/>
  <c r="BN41" i="3"/>
  <c r="BN42" i="3"/>
  <c r="BN47" i="3"/>
  <c r="BN48" i="3"/>
  <c r="BN49" i="3"/>
  <c r="BN50" i="3"/>
  <c r="BN51" i="3"/>
  <c r="BN54" i="3"/>
  <c r="BN55" i="3"/>
  <c r="BN56" i="3"/>
  <c r="BN58" i="3"/>
  <c r="BN60" i="3"/>
  <c r="BN62" i="3"/>
  <c r="BN63" i="3"/>
  <c r="BN64" i="3"/>
  <c r="BN65" i="3"/>
  <c r="BN66" i="3"/>
  <c r="BN67" i="3"/>
  <c r="BN69" i="3"/>
  <c r="BN71" i="3"/>
  <c r="BN72" i="3"/>
  <c r="BN73" i="3"/>
  <c r="BN77" i="3"/>
  <c r="BN78" i="3"/>
  <c r="BN79" i="3"/>
  <c r="BN80" i="3"/>
  <c r="BN81" i="3"/>
  <c r="BN11" i="3"/>
  <c r="BN12" i="3"/>
  <c r="BN14" i="3"/>
  <c r="BN15" i="3"/>
  <c r="BN16" i="3"/>
  <c r="BN17" i="3"/>
  <c r="BN19" i="3"/>
  <c r="BN20" i="3"/>
  <c r="BN22" i="3"/>
  <c r="BN25" i="3"/>
  <c r="BN26" i="3"/>
  <c r="BN27" i="3"/>
  <c r="BL97" i="3"/>
  <c r="BL88" i="3"/>
  <c r="BL89" i="3"/>
  <c r="BL90" i="3"/>
  <c r="D84" i="3"/>
  <c r="D102" i="3" s="1"/>
  <c r="BL10" i="3"/>
  <c r="BL11" i="3"/>
  <c r="BL12" i="3"/>
  <c r="BL14" i="3"/>
  <c r="BL15" i="3"/>
  <c r="BL17" i="3"/>
  <c r="BL18" i="3"/>
  <c r="BL19" i="3"/>
  <c r="BL20" i="3"/>
  <c r="BL22" i="3"/>
  <c r="BL23" i="3"/>
  <c r="BL24" i="3"/>
  <c r="BL25" i="3"/>
  <c r="BL26" i="3"/>
  <c r="BL27" i="3"/>
  <c r="BL28" i="3"/>
  <c r="BL32" i="3"/>
  <c r="BL33" i="3"/>
  <c r="BL34" i="3"/>
  <c r="BL38" i="3"/>
  <c r="BL41" i="3"/>
  <c r="BL42" i="3"/>
  <c r="BL43" i="3"/>
  <c r="BL47" i="3"/>
  <c r="BL48" i="3"/>
  <c r="BL50" i="3"/>
  <c r="BL51" i="3"/>
  <c r="BL54" i="3"/>
  <c r="BL58" i="3"/>
  <c r="BL64" i="3"/>
  <c r="BL65" i="3"/>
  <c r="BL69" i="3"/>
  <c r="BL70" i="3"/>
  <c r="BL71" i="3"/>
  <c r="BL73" i="3"/>
  <c r="BL74" i="3"/>
  <c r="BL77" i="3"/>
  <c r="BL78" i="3"/>
  <c r="BL79" i="3"/>
  <c r="BL81" i="3"/>
  <c r="BL4" i="3"/>
  <c r="BL7" i="3"/>
  <c r="EF84" i="3"/>
  <c r="EF102" i="3" s="1"/>
  <c r="EE84" i="3"/>
  <c r="EE102" i="3" s="1"/>
  <c r="EB103" i="3"/>
  <c r="EA80" i="3"/>
  <c r="DX62" i="3"/>
  <c r="DX67" i="3"/>
  <c r="DX44" i="3"/>
  <c r="DX52" i="3"/>
  <c r="DX37" i="3"/>
  <c r="DX27" i="3"/>
  <c r="EA19" i="3"/>
  <c r="DC24" i="3"/>
  <c r="EA57" i="3"/>
  <c r="DI88" i="3"/>
  <c r="F5" i="33"/>
  <c r="F6" i="33"/>
  <c r="F7" i="33"/>
  <c r="F8" i="33"/>
  <c r="F9" i="33"/>
  <c r="F10" i="33"/>
  <c r="F11" i="33"/>
  <c r="F12" i="33"/>
  <c r="F13" i="33"/>
  <c r="F14" i="33"/>
  <c r="F15" i="33"/>
  <c r="F16" i="33"/>
  <c r="F17" i="33"/>
  <c r="F18" i="33"/>
  <c r="F19" i="33"/>
  <c r="F20" i="33"/>
  <c r="F21" i="33"/>
  <c r="F22" i="33"/>
  <c r="F23" i="33"/>
  <c r="F24" i="33"/>
  <c r="F25" i="33"/>
  <c r="F26" i="33"/>
  <c r="F27" i="33"/>
  <c r="F28" i="33"/>
  <c r="F29" i="33"/>
  <c r="F30" i="33"/>
  <c r="F31" i="33"/>
  <c r="F32" i="33"/>
  <c r="F33" i="33"/>
  <c r="F34" i="33"/>
  <c r="F35" i="33"/>
  <c r="F36" i="33"/>
  <c r="F37" i="33"/>
  <c r="F38" i="33"/>
  <c r="F39" i="33"/>
  <c r="F40" i="33"/>
  <c r="F41" i="33"/>
  <c r="F42" i="33"/>
  <c r="F43" i="33"/>
  <c r="F44" i="33"/>
  <c r="F45" i="33"/>
  <c r="F46" i="33"/>
  <c r="F47" i="33"/>
  <c r="F48" i="33"/>
  <c r="F49" i="33"/>
  <c r="F50" i="33"/>
  <c r="F51" i="33"/>
  <c r="F52" i="33"/>
  <c r="F53" i="33"/>
  <c r="F54" i="33"/>
  <c r="F55" i="33"/>
  <c r="F56" i="33"/>
  <c r="F57" i="33"/>
  <c r="F58" i="33"/>
  <c r="F59" i="33"/>
  <c r="F60" i="33"/>
  <c r="F61" i="33"/>
  <c r="F62" i="33"/>
  <c r="F63" i="33"/>
  <c r="F64" i="33"/>
  <c r="F65" i="33"/>
  <c r="F66" i="33"/>
  <c r="F67" i="33"/>
  <c r="F68" i="33"/>
  <c r="F69" i="33"/>
  <c r="F70" i="33"/>
  <c r="F71" i="33"/>
  <c r="F72" i="33"/>
  <c r="F73" i="33"/>
  <c r="F74" i="33"/>
  <c r="F75" i="33"/>
  <c r="F76" i="33"/>
  <c r="F77" i="33"/>
  <c r="F78" i="33"/>
  <c r="F79" i="33"/>
  <c r="F80" i="33"/>
  <c r="F81" i="33"/>
  <c r="F82" i="33"/>
  <c r="F83" i="33"/>
  <c r="F84" i="33"/>
  <c r="F85" i="33"/>
  <c r="F86" i="33"/>
  <c r="F87" i="33"/>
  <c r="F88" i="33"/>
  <c r="F89" i="33"/>
  <c r="F90" i="33"/>
  <c r="F91" i="33"/>
  <c r="F92" i="33"/>
  <c r="F93" i="33"/>
  <c r="F94" i="33"/>
  <c r="F95" i="33"/>
  <c r="F96" i="33"/>
  <c r="F97" i="33"/>
  <c r="F98" i="33"/>
  <c r="F99" i="33"/>
  <c r="F100" i="33"/>
  <c r="F101" i="33"/>
  <c r="F102" i="33"/>
  <c r="F103" i="33"/>
  <c r="F104" i="33"/>
  <c r="C108" i="33"/>
  <c r="D108" i="33"/>
  <c r="E108" i="33"/>
  <c r="G108" i="33"/>
  <c r="H108" i="33"/>
  <c r="I108" i="33"/>
  <c r="J108" i="33"/>
  <c r="K108" i="33"/>
  <c r="L108" i="33"/>
  <c r="M108" i="33"/>
  <c r="N108" i="33"/>
  <c r="O108" i="33"/>
  <c r="P108" i="33"/>
  <c r="Q108" i="33"/>
  <c r="R108" i="33"/>
  <c r="S108" i="33"/>
  <c r="T108" i="33"/>
  <c r="U108" i="33"/>
  <c r="V108" i="33"/>
  <c r="W108" i="33"/>
  <c r="X108" i="33"/>
  <c r="Y108" i="33"/>
  <c r="Z108" i="33"/>
  <c r="AA108" i="33"/>
  <c r="AB108" i="33"/>
  <c r="AC108" i="33"/>
  <c r="AD108" i="33"/>
  <c r="AE108" i="33"/>
  <c r="AF108" i="33"/>
  <c r="AG108" i="33"/>
  <c r="AH108" i="33"/>
  <c r="AI108" i="33"/>
  <c r="AJ108" i="33"/>
  <c r="AK108" i="33"/>
  <c r="AL108" i="33"/>
  <c r="AM108" i="33"/>
  <c r="AN108" i="33"/>
  <c r="AO108" i="33"/>
  <c r="AP108" i="33"/>
  <c r="AQ108" i="33"/>
  <c r="AR108" i="33"/>
  <c r="AS108" i="33"/>
  <c r="AT108" i="33"/>
  <c r="AU108" i="33"/>
  <c r="AV108" i="33"/>
  <c r="AW108" i="33"/>
  <c r="AX108" i="33"/>
  <c r="DU7" i="3"/>
  <c r="CY10" i="3"/>
  <c r="DG13" i="3"/>
  <c r="DN14" i="3"/>
  <c r="DF17" i="3"/>
  <c r="CB18" i="3"/>
  <c r="DC18" i="3"/>
  <c r="DG19" i="3"/>
  <c r="DX22" i="3"/>
  <c r="DJ27" i="3"/>
  <c r="CY29" i="3"/>
  <c r="CP34" i="3"/>
  <c r="CL35" i="3"/>
  <c r="EA35" i="3"/>
  <c r="DG37" i="3"/>
  <c r="CQ42" i="3"/>
  <c r="CY48" i="3"/>
  <c r="DN48" i="3"/>
  <c r="BV50" i="3"/>
  <c r="CE50" i="3"/>
  <c r="CT50" i="3"/>
  <c r="DS51" i="3"/>
  <c r="DX51" i="3"/>
  <c r="DQ53" i="3"/>
  <c r="DN54" i="3"/>
  <c r="CP55" i="3"/>
  <c r="CY56" i="3"/>
  <c r="EA58" i="3"/>
  <c r="DG60" i="3"/>
  <c r="DN60" i="3"/>
  <c r="DI60" i="3"/>
  <c r="CP62" i="3"/>
  <c r="DD62" i="3"/>
  <c r="CD65" i="3"/>
  <c r="CQ66" i="3"/>
  <c r="DJ66" i="3"/>
  <c r="DQ67" i="3"/>
  <c r="CI68" i="3"/>
  <c r="DX70" i="3"/>
  <c r="CE73" i="3"/>
  <c r="DX74" i="3"/>
  <c r="DQ76" i="3"/>
  <c r="EA77" i="3"/>
  <c r="DF78" i="3"/>
  <c r="CI79" i="3"/>
  <c r="EA79" i="3"/>
  <c r="DA81" i="3"/>
  <c r="DJ81" i="3"/>
  <c r="S84" i="3"/>
  <c r="S102" i="3" s="1"/>
  <c r="X84" i="3"/>
  <c r="X102" i="3" s="1"/>
  <c r="AB84" i="3"/>
  <c r="AB102" i="3" s="1"/>
  <c r="AE84" i="3"/>
  <c r="AE102" i="3" s="1"/>
  <c r="AI84" i="3"/>
  <c r="AI102" i="3" s="1"/>
  <c r="AJ84" i="3"/>
  <c r="AJ102" i="3" s="1"/>
  <c r="AK84" i="3"/>
  <c r="AK102" i="3" s="1"/>
  <c r="AN84" i="3"/>
  <c r="AN102" i="3" s="1"/>
  <c r="AP84" i="3"/>
  <c r="AP102" i="3" s="1"/>
  <c r="AQ84" i="3"/>
  <c r="AQ102" i="3" s="1"/>
  <c r="AS84" i="3"/>
  <c r="AS102" i="3" s="1"/>
  <c r="AW84" i="3"/>
  <c r="AW102" i="3" s="1"/>
  <c r="AX84" i="3"/>
  <c r="AX102" i="3" s="1"/>
  <c r="AY84" i="3"/>
  <c r="AY102" i="3" s="1"/>
  <c r="AZ84" i="3"/>
  <c r="AZ102" i="3" s="1"/>
  <c r="BA84" i="3"/>
  <c r="BA102" i="3" s="1"/>
  <c r="BB84" i="3"/>
  <c r="BB102" i="3" s="1"/>
  <c r="BF84" i="3"/>
  <c r="BF102" i="3" s="1"/>
  <c r="BH84" i="3"/>
  <c r="BH102" i="3" s="1"/>
  <c r="DG87" i="3"/>
  <c r="DD89" i="3"/>
  <c r="DU89" i="3"/>
  <c r="DX89" i="3"/>
  <c r="CI94" i="3"/>
  <c r="DP97" i="3"/>
  <c r="BF98" i="3"/>
  <c r="DQ97" i="3"/>
  <c r="BJ102" i="3"/>
  <c r="BG110" i="3"/>
  <c r="C2" i="14"/>
  <c r="DP86" i="3"/>
  <c r="DS86" i="3"/>
  <c r="DX79" i="3"/>
  <c r="EA97" i="3"/>
  <c r="DX87" i="3"/>
  <c r="DX69" i="3"/>
  <c r="CY79" i="3"/>
  <c r="CY67" i="3"/>
  <c r="DG67" i="3"/>
  <c r="DC78" i="3"/>
  <c r="DC70" i="3"/>
  <c r="DX76" i="3"/>
  <c r="CL74" i="3"/>
  <c r="DQ58" i="3"/>
  <c r="DJ58" i="3"/>
  <c r="DS58" i="3"/>
  <c r="BL57" i="3"/>
  <c r="DP58" i="3"/>
  <c r="DX47" i="3"/>
  <c r="EA47" i="3"/>
  <c r="DX68" i="3"/>
  <c r="CM65" i="3"/>
  <c r="DX60" i="3"/>
  <c r="DS65" i="3"/>
  <c r="DX54" i="3"/>
  <c r="CY63" i="3"/>
  <c r="CQ63" i="3"/>
  <c r="DG59" i="3"/>
  <c r="CY59" i="3"/>
  <c r="CQ54" i="3"/>
  <c r="DC47" i="3"/>
  <c r="CY44" i="3"/>
  <c r="DC55" i="3"/>
  <c r="CY52" i="3"/>
  <c r="DS66" i="3"/>
  <c r="CI50" i="3"/>
  <c r="CQ50" i="3"/>
  <c r="EA43" i="3"/>
  <c r="CP47" i="3"/>
  <c r="DF47" i="3"/>
  <c r="DX40" i="3"/>
  <c r="DG26" i="3"/>
  <c r="CI7" i="3"/>
  <c r="CQ7" i="3"/>
  <c r="DQ7" i="3"/>
  <c r="DJ7" i="3"/>
  <c r="DJ8" i="3" s="1"/>
  <c r="EA32" i="3"/>
  <c r="CQ43" i="3"/>
  <c r="DJ37" i="3"/>
  <c r="CT35" i="3"/>
  <c r="EA34" i="3"/>
  <c r="DU30" i="3"/>
  <c r="DM30" i="3"/>
  <c r="CQ24" i="3"/>
  <c r="DF41" i="3"/>
  <c r="CL37" i="3"/>
  <c r="DP11" i="3"/>
  <c r="CL11" i="3"/>
  <c r="DS11" i="3"/>
  <c r="DM11" i="3"/>
  <c r="DU11" i="3"/>
  <c r="DG36" i="3"/>
  <c r="CY36" i="3"/>
  <c r="DP32" i="3"/>
  <c r="CL32" i="3"/>
  <c r="CT30" i="3"/>
  <c r="CE36" i="3"/>
  <c r="CT34" i="3"/>
  <c r="DI7" i="3"/>
  <c r="CL7" i="3"/>
  <c r="CT7" i="3"/>
  <c r="DS7" i="3"/>
  <c r="DS27" i="3"/>
  <c r="DM19" i="3"/>
  <c r="DF7" i="3"/>
  <c r="CP7" i="3"/>
  <c r="BT19" i="3"/>
  <c r="DP19" i="3"/>
  <c r="CD19" i="3"/>
  <c r="CL19" i="3"/>
  <c r="CT19" i="3"/>
  <c r="DS19" i="3"/>
  <c r="DX24" i="3"/>
  <c r="DM7" i="3"/>
  <c r="EA22" i="3"/>
  <c r="DQ22" i="3"/>
  <c r="EA18" i="3"/>
  <c r="EA14" i="3"/>
  <c r="EA10" i="3"/>
  <c r="DJ16" i="3"/>
  <c r="DJ12" i="3"/>
  <c r="CT12" i="3"/>
  <c r="CL12" i="3"/>
  <c r="DD29" i="3"/>
  <c r="DN29" i="3"/>
  <c r="DX29" i="3"/>
  <c r="DJ29" i="3"/>
  <c r="DG21" i="3"/>
  <c r="DX21" i="3"/>
  <c r="CI21" i="3"/>
  <c r="DD13" i="3"/>
  <c r="DX13" i="3"/>
  <c r="CY13" i="3"/>
  <c r="CI13" i="3"/>
  <c r="CM15" i="3"/>
  <c r="DX15" i="3"/>
  <c r="CM33" i="3"/>
  <c r="DX33" i="3"/>
  <c r="DX25" i="3"/>
  <c r="DX17" i="3"/>
  <c r="CY27" i="3"/>
  <c r="CI27" i="3"/>
  <c r="DG27" i="3"/>
  <c r="DD27" i="3"/>
  <c r="DQ27" i="3"/>
  <c r="DQ19" i="3"/>
  <c r="DJ19" i="3"/>
  <c r="CY19" i="3"/>
  <c r="CQ19" i="3"/>
  <c r="DQ13" i="3"/>
  <c r="DN58" i="3"/>
  <c r="DQ37" i="3"/>
  <c r="CI37" i="3"/>
  <c r="DQ28" i="3"/>
  <c r="DJ86" i="3"/>
  <c r="DX32" i="3"/>
  <c r="DG28" i="3"/>
  <c r="DQ4" i="3"/>
  <c r="DJ13" i="3"/>
  <c r="DN32" i="3"/>
  <c r="DG29" i="3"/>
  <c r="DN40" i="3"/>
  <c r="DX34" i="3"/>
  <c r="CQ34" i="3"/>
  <c r="DN22" i="3"/>
  <c r="DJ21" i="3"/>
  <c r="DN19" i="3"/>
  <c r="CI28" i="3"/>
  <c r="DJ34" i="3"/>
  <c r="CM31" i="3"/>
  <c r="DM74" i="3"/>
  <c r="EA92" i="3"/>
  <c r="DA79" i="3"/>
  <c r="DC62" i="3"/>
  <c r="CP58" i="3"/>
  <c r="DX53" i="3"/>
  <c r="CD81" i="3"/>
  <c r="DU74" i="3"/>
  <c r="DJ73" i="3"/>
  <c r="DM66" i="3"/>
  <c r="CI51" i="3"/>
  <c r="CI43" i="3"/>
  <c r="DJ43" i="3"/>
  <c r="DX18" i="3"/>
  <c r="DX10" i="3"/>
  <c r="DX36" i="3"/>
  <c r="CL83" i="3"/>
  <c r="CL84" i="3" s="1"/>
  <c r="CL102" i="3" s="1"/>
  <c r="DS75" i="3"/>
  <c r="DD69" i="3"/>
  <c r="DG53" i="3"/>
  <c r="DN18" i="3"/>
  <c r="EA81" i="3"/>
  <c r="DX55" i="3"/>
  <c r="DD54" i="3"/>
  <c r="DD87" i="3"/>
  <c r="DM77" i="3"/>
  <c r="CP65" i="3"/>
  <c r="DN26" i="3"/>
  <c r="DQ10" i="3"/>
  <c r="DG10" i="3"/>
  <c r="CE10" i="3"/>
  <c r="DJ10" i="3"/>
  <c r="DQ43" i="3"/>
  <c r="DM43" i="3"/>
  <c r="DG42" i="3"/>
  <c r="DD22" i="3"/>
  <c r="DN16" i="3"/>
  <c r="BV35" i="3"/>
  <c r="CI32" i="3"/>
  <c r="CI24" i="3"/>
  <c r="DP18" i="3"/>
  <c r="DN15" i="3"/>
  <c r="CI12" i="3"/>
  <c r="DQ12" i="3"/>
  <c r="DJ38" i="3"/>
  <c r="EA28" i="3"/>
  <c r="DP22" i="3"/>
  <c r="CM16" i="3"/>
  <c r="DD31" i="3"/>
  <c r="DS30" i="3"/>
  <c r="CM28" i="3"/>
  <c r="CI16" i="3"/>
  <c r="BN10" i="3"/>
  <c r="CM39" i="3"/>
  <c r="DS28" i="3"/>
  <c r="DM28" i="3"/>
  <c r="CL28" i="3"/>
  <c r="BR18" i="3"/>
  <c r="DS12" i="3"/>
  <c r="DC10" i="3"/>
  <c r="DN4" i="3"/>
  <c r="DS22" i="3"/>
  <c r="DM22" i="3"/>
  <c r="CL22" i="3"/>
  <c r="DM14" i="3"/>
  <c r="DN10" i="3"/>
  <c r="DM12" i="3"/>
  <c r="CQ31" i="3"/>
  <c r="CL65" i="3"/>
  <c r="DS35" i="3"/>
  <c r="DJ35" i="3"/>
  <c r="DM35" i="3"/>
  <c r="CY18" i="3"/>
  <c r="DA18" i="3"/>
  <c r="CQ10" i="3"/>
  <c r="CT10" i="3"/>
  <c r="AX8" i="3"/>
  <c r="CM50" i="3"/>
  <c r="DP78" i="3"/>
  <c r="CY4" i="3"/>
  <c r="CY8" i="3" s="1"/>
  <c r="DF85" i="3"/>
  <c r="DS43" i="3"/>
  <c r="AW8" i="3"/>
  <c r="AO8" i="3"/>
  <c r="DM49" i="3"/>
  <c r="DI28" i="3"/>
  <c r="DP16" i="3"/>
  <c r="DP10" i="3"/>
  <c r="CB58" i="3"/>
  <c r="DX77" i="3"/>
  <c r="DM92" i="3"/>
  <c r="CL92" i="3"/>
  <c r="CI86" i="3"/>
  <c r="DF89" i="3"/>
  <c r="CM85" i="3"/>
  <c r="CP85" i="3"/>
  <c r="CE92" i="3"/>
  <c r="DM86" i="3"/>
  <c r="DD76" i="3"/>
  <c r="DI75" i="3"/>
  <c r="CM68" i="3"/>
  <c r="DM81" i="3"/>
  <c r="DC81" i="3"/>
  <c r="DM75" i="3"/>
  <c r="CI73" i="3"/>
  <c r="CM60" i="3"/>
  <c r="DD47" i="3"/>
  <c r="CY40" i="3"/>
  <c r="DN56" i="3"/>
  <c r="CM42" i="3"/>
  <c r="DN41" i="3"/>
  <c r="CI53" i="3"/>
  <c r="CY42" i="3"/>
  <c r="CE42" i="3"/>
  <c r="CM37" i="3"/>
  <c r="DP50" i="3"/>
  <c r="DN42" i="3"/>
  <c r="DA35" i="3"/>
  <c r="DM34" i="3"/>
  <c r="DS32" i="3"/>
  <c r="DD21" i="3"/>
  <c r="DS34" i="3"/>
  <c r="CE34" i="3"/>
  <c r="CT43" i="3"/>
  <c r="DQ34" i="3"/>
  <c r="DC32" i="3"/>
  <c r="DQ38" i="3"/>
  <c r="BP25" i="3"/>
  <c r="DC22" i="3"/>
  <c r="CY12" i="3"/>
  <c r="DA12" i="3"/>
  <c r="CP12" i="3"/>
  <c r="CM12" i="3"/>
  <c r="CM18" i="3"/>
  <c r="CP18" i="3"/>
  <c r="DS18" i="3"/>
  <c r="DQ18" i="3"/>
  <c r="DJ18" i="3"/>
  <c r="DQ16" i="3"/>
  <c r="CL16" i="3"/>
  <c r="DP14" i="3"/>
  <c r="CM10" i="3"/>
  <c r="BV10" i="3"/>
  <c r="AN8" i="3"/>
  <c r="DS14" i="3"/>
  <c r="DJ14" i="3"/>
  <c r="CH11" i="3"/>
  <c r="DU12" i="3"/>
  <c r="DD38" i="3"/>
  <c r="DF38" i="3"/>
  <c r="CP28" i="3"/>
  <c r="CH12" i="3"/>
  <c r="DG12" i="3"/>
  <c r="DI12" i="3"/>
  <c r="DG44" i="3"/>
  <c r="CE44" i="3"/>
  <c r="DN89" i="3"/>
  <c r="DP89" i="3"/>
  <c r="CT47" i="3"/>
  <c r="DD40" i="3"/>
  <c r="CM73" i="3"/>
  <c r="CM58" i="3"/>
  <c r="CM7" i="3"/>
  <c r="DN69" i="3"/>
  <c r="CD86" i="3"/>
  <c r="DP85" i="3"/>
  <c r="CL51" i="3"/>
  <c r="AY105" i="3"/>
  <c r="CH10" i="3"/>
  <c r="AQ105" i="3"/>
  <c r="CH27" i="3"/>
  <c r="AI105" i="3"/>
  <c r="AI98" i="3"/>
  <c r="DD97" i="3"/>
  <c r="DF97" i="3"/>
  <c r="BP94" i="3"/>
  <c r="CY21" i="3"/>
  <c r="DM94" i="3"/>
  <c r="DQ50" i="3"/>
  <c r="DS50" i="3"/>
  <c r="DA43" i="3"/>
  <c r="CY43" i="3"/>
  <c r="DC30" i="3"/>
  <c r="AU100" i="3"/>
  <c r="W100" i="3"/>
  <c r="CY94" i="3"/>
  <c r="CL89" i="3"/>
  <c r="AB105" i="3"/>
  <c r="AB98" i="3"/>
  <c r="AA105" i="3"/>
  <c r="CL77" i="3"/>
  <c r="AR98" i="3"/>
  <c r="DJ50" i="3"/>
  <c r="DF16" i="3"/>
  <c r="DD45" i="3"/>
  <c r="CI45" i="3"/>
  <c r="DQ45" i="3"/>
  <c r="DG45" i="3"/>
  <c r="DJ45" i="3"/>
  <c r="DX45" i="3"/>
  <c r="CE45" i="3"/>
  <c r="EA90" i="3"/>
  <c r="DC90" i="3"/>
  <c r="DP90" i="3"/>
  <c r="DF90" i="3"/>
  <c r="CY66" i="3"/>
  <c r="CI66" i="3"/>
  <c r="BV71" i="3"/>
  <c r="BT50" i="3"/>
  <c r="CB50" i="3"/>
  <c r="DM50" i="3"/>
  <c r="CH50" i="3"/>
  <c r="CL50" i="3"/>
  <c r="DU21" i="3"/>
  <c r="EA66" i="3"/>
  <c r="DX85" i="3"/>
  <c r="EA85" i="3"/>
  <c r="CP50" i="3"/>
  <c r="DM73" i="3"/>
  <c r="DS45" i="3"/>
  <c r="DX48" i="3"/>
  <c r="CL85" i="3"/>
  <c r="EA49" i="3"/>
  <c r="CT85" i="3"/>
  <c r="CD89" i="3"/>
  <c r="DX78" i="3"/>
  <c r="EA17" i="3"/>
  <c r="BI84" i="3"/>
  <c r="BI102" i="3" s="1"/>
  <c r="DD90" i="3"/>
  <c r="DS92" i="3"/>
  <c r="DC89" i="3"/>
  <c r="DC77" i="3"/>
  <c r="DF77" i="3"/>
  <c r="DS77" i="3"/>
  <c r="CI42" i="3"/>
  <c r="DJ42" i="3"/>
  <c r="CD18" i="3"/>
  <c r="DM18" i="3"/>
  <c r="DX14" i="3"/>
  <c r="DD14" i="3"/>
  <c r="CI14" i="3"/>
  <c r="DQ14" i="3"/>
  <c r="DP35" i="3"/>
  <c r="CH18" i="3"/>
  <c r="CD11" i="3"/>
  <c r="DS10" i="3"/>
  <c r="DA10" i="3"/>
  <c r="DN86" i="3"/>
  <c r="CD77" i="3"/>
  <c r="CL73" i="3"/>
  <c r="CD27" i="3"/>
  <c r="DJ22" i="3"/>
  <c r="DM20" i="3"/>
  <c r="CD10" i="3"/>
  <c r="DA86" i="3"/>
  <c r="CY65" i="3"/>
  <c r="DJ60" i="3"/>
  <c r="EA55" i="3"/>
  <c r="CL43" i="3"/>
  <c r="DQ42" i="3"/>
  <c r="DI35" i="3"/>
  <c r="DU34" i="3"/>
  <c r="DU27" i="3"/>
  <c r="DI27" i="3"/>
  <c r="CI22" i="3"/>
  <c r="BT22" i="3"/>
  <c r="EA20" i="3"/>
  <c r="BT10" i="3"/>
  <c r="DG4" i="3"/>
  <c r="BV81" i="3"/>
  <c r="EA74" i="3"/>
  <c r="CL66" i="3"/>
  <c r="DJ65" i="3"/>
  <c r="DG52" i="3"/>
  <c r="CE26" i="3"/>
  <c r="DF22" i="3"/>
  <c r="CL20" i="3"/>
  <c r="DD16" i="3"/>
  <c r="EA12" i="3"/>
  <c r="CB7" i="3"/>
  <c r="DI94" i="3"/>
  <c r="DQ74" i="3"/>
  <c r="DD70" i="3"/>
  <c r="CB14" i="3"/>
  <c r="CH28" i="3"/>
  <c r="DF14" i="3"/>
  <c r="BZ12" i="3"/>
  <c r="AT105" i="3"/>
  <c r="BT43" i="3"/>
  <c r="AY98" i="3"/>
  <c r="DN96" i="3"/>
  <c r="AV100" i="3"/>
  <c r="CE15" i="3"/>
  <c r="DU39" i="3"/>
  <c r="CP39" i="3"/>
  <c r="DC39" i="3"/>
  <c r="DP39" i="3"/>
  <c r="CD39" i="3"/>
  <c r="EA39" i="3"/>
  <c r="DF72" i="3"/>
  <c r="DP72" i="3"/>
  <c r="DS72" i="3"/>
  <c r="BV31" i="3"/>
  <c r="CB93" i="3"/>
  <c r="EA93" i="3"/>
  <c r="DP93" i="3"/>
  <c r="DC93" i="3"/>
  <c r="DF93" i="3"/>
  <c r="BH95" i="3"/>
  <c r="DS93" i="3"/>
  <c r="CL24" i="3"/>
  <c r="DX80" i="3"/>
  <c r="DX19" i="3"/>
  <c r="DA94" i="3"/>
  <c r="DA34" i="3"/>
  <c r="CH34" i="3"/>
  <c r="CL34" i="3"/>
  <c r="BT34" i="3"/>
  <c r="DC34" i="3"/>
  <c r="BT88" i="3"/>
  <c r="CB38" i="3"/>
  <c r="DX4" i="3"/>
  <c r="CH73" i="3"/>
  <c r="DI73" i="3"/>
  <c r="CP73" i="3"/>
  <c r="DS73" i="3"/>
  <c r="DP73" i="3"/>
  <c r="BT16" i="3"/>
  <c r="DS16" i="3"/>
  <c r="BZ67" i="3"/>
  <c r="CT38" i="3"/>
  <c r="BR24" i="3"/>
  <c r="CT20" i="3"/>
  <c r="CH20" i="3"/>
  <c r="DI20" i="3"/>
  <c r="DM42" i="3"/>
  <c r="BT42" i="3"/>
  <c r="DA42" i="3"/>
  <c r="DP42" i="3"/>
  <c r="DS42" i="3"/>
  <c r="CD7" i="3"/>
  <c r="DM38" i="3"/>
  <c r="EA11" i="3"/>
  <c r="BH104" i="3"/>
  <c r="DA92" i="3"/>
  <c r="DI92" i="3"/>
  <c r="CT92" i="3"/>
  <c r="DC92" i="3"/>
  <c r="F108" i="33"/>
  <c r="EA15" i="3"/>
  <c r="CD15" i="3"/>
  <c r="CL42" i="3"/>
  <c r="EA27" i="3"/>
  <c r="DS38" i="3"/>
  <c r="CH42" i="3"/>
  <c r="DP92" i="3"/>
  <c r="EA75" i="3"/>
  <c r="DS25" i="3"/>
  <c r="CT25" i="3"/>
  <c r="BN24" i="3"/>
  <c r="CB24" i="3"/>
  <c r="CH77" i="3"/>
  <c r="EA62" i="3"/>
  <c r="BX85" i="3"/>
  <c r="DC85" i="3"/>
  <c r="DF13" i="3"/>
  <c r="CP80" i="3"/>
  <c r="DU31" i="3"/>
  <c r="BT71" i="3"/>
  <c r="EA64" i="3"/>
  <c r="BT89" i="3"/>
  <c r="DS71" i="3"/>
  <c r="CB4" i="3"/>
  <c r="EB95" i="3"/>
  <c r="CE89" i="3"/>
  <c r="CH60" i="3"/>
  <c r="EA78" i="3"/>
  <c r="CT78" i="3"/>
  <c r="CD51" i="3"/>
  <c r="EA70" i="3"/>
  <c r="DU70" i="3"/>
  <c r="DU65" i="3"/>
  <c r="DP65" i="3"/>
  <c r="DM60" i="3"/>
  <c r="CD47" i="3"/>
  <c r="BH100" i="3"/>
  <c r="CT74" i="3"/>
  <c r="DS74" i="3"/>
  <c r="DA66" i="3"/>
  <c r="DM58" i="3"/>
  <c r="BN43" i="3"/>
  <c r="CP16" i="3"/>
  <c r="CT80" i="3"/>
  <c r="DP64" i="3"/>
  <c r="DP57" i="3"/>
  <c r="DP49" i="3"/>
  <c r="DP41" i="3"/>
  <c r="DP17" i="3"/>
  <c r="CT31" i="3"/>
  <c r="DC57" i="3"/>
  <c r="DC49" i="3"/>
  <c r="DC41" i="3"/>
  <c r="DC25" i="3"/>
  <c r="DC17" i="3"/>
  <c r="DU78" i="3"/>
  <c r="BR15" i="3"/>
  <c r="CD80" i="3"/>
  <c r="CD72" i="3"/>
  <c r="CD64" i="3"/>
  <c r="CD57" i="3"/>
  <c r="CD25" i="3"/>
  <c r="DC16" i="3"/>
  <c r="DF64" i="3"/>
  <c r="DF57" i="3"/>
  <c r="DF49" i="3"/>
  <c r="BR77" i="3"/>
  <c r="BR38" i="3"/>
  <c r="BX49" i="3"/>
  <c r="BX25" i="3"/>
  <c r="DF32" i="3"/>
  <c r="DF24" i="3"/>
  <c r="BV78" i="3"/>
  <c r="BV62" i="3"/>
  <c r="BV55" i="3"/>
  <c r="BV47" i="3"/>
  <c r="DI57" i="3"/>
  <c r="CH78" i="3"/>
  <c r="CH39" i="3"/>
  <c r="CH31" i="3"/>
  <c r="CH23" i="3"/>
  <c r="DM72" i="3"/>
  <c r="DM64" i="3"/>
  <c r="DM41" i="3"/>
  <c r="DM25" i="3"/>
  <c r="DM17" i="3"/>
  <c r="DA49" i="3"/>
  <c r="DI78" i="3"/>
  <c r="DI47" i="3"/>
  <c r="DI39" i="3"/>
  <c r="U9" i="3"/>
  <c r="AS100" i="3"/>
  <c r="DN17" i="3"/>
  <c r="DJ25" i="3"/>
  <c r="DJ17" i="3"/>
  <c r="DM80" i="3"/>
  <c r="DI55" i="3"/>
  <c r="DG80" i="3"/>
  <c r="DG39" i="3"/>
  <c r="DA80" i="3"/>
  <c r="CT55" i="3"/>
  <c r="CT70" i="3"/>
  <c r="CT17" i="3"/>
  <c r="CP32" i="3"/>
  <c r="CP24" i="3"/>
  <c r="CL17" i="3"/>
  <c r="CE31" i="3"/>
  <c r="CH15" i="3"/>
  <c r="BX83" i="3"/>
  <c r="BX84" i="3" s="1"/>
  <c r="BX102" i="3" s="1"/>
  <c r="BL87" i="3"/>
  <c r="DU87" i="3"/>
  <c r="DP71" i="3"/>
  <c r="DQ66" i="3"/>
  <c r="DA60" i="3"/>
  <c r="CT77" i="3"/>
  <c r="DJ74" i="3"/>
  <c r="DC76" i="3"/>
  <c r="DJ83" i="3"/>
  <c r="DJ84" i="3" s="1"/>
  <c r="DJ102" i="3" s="1"/>
  <c r="BX71" i="3"/>
  <c r="DN66" i="3"/>
  <c r="CT90" i="3"/>
  <c r="CQ71" i="3"/>
  <c r="DD85" i="3"/>
  <c r="BV79" i="3"/>
  <c r="CP35" i="3"/>
  <c r="DD93" i="3"/>
  <c r="CH92" i="3"/>
  <c r="CM71" i="3"/>
  <c r="CQ74" i="3"/>
  <c r="CE58" i="3"/>
  <c r="CH58" i="3"/>
  <c r="CY51" i="3"/>
  <c r="BT79" i="3"/>
  <c r="DM87" i="3"/>
  <c r="CE65" i="3"/>
  <c r="CI83" i="3"/>
  <c r="CI84" i="3" s="1"/>
  <c r="CI102" i="3" s="1"/>
  <c r="CT83" i="3"/>
  <c r="CT84" i="3" s="1"/>
  <c r="CT102" i="3" s="1"/>
  <c r="DF62" i="3"/>
  <c r="BL83" i="3"/>
  <c r="BL84" i="3" s="1"/>
  <c r="BL102" i="3" s="1"/>
  <c r="DN74" i="3"/>
  <c r="CB79" i="3"/>
  <c r="DQ68" i="3"/>
  <c r="CI76" i="3"/>
  <c r="CM94" i="3"/>
  <c r="CP79" i="3"/>
  <c r="CM66" i="3"/>
  <c r="BV68" i="3"/>
  <c r="DM83" i="3"/>
  <c r="DM84" i="3" s="1"/>
  <c r="DM102" i="3" s="1"/>
  <c r="DJ87" i="3"/>
  <c r="DC83" i="3"/>
  <c r="DC84" i="3" s="1"/>
  <c r="DC102" i="3" s="1"/>
  <c r="DQ51" i="3"/>
  <c r="DJ76" i="3"/>
  <c r="CT87" i="3"/>
  <c r="DX66" i="3"/>
  <c r="CP71" i="3"/>
  <c r="CH87" i="3"/>
  <c r="DC79" i="3"/>
  <c r="CQ56" i="3"/>
  <c r="CB68" i="3"/>
  <c r="DU90" i="3"/>
  <c r="DF83" i="3"/>
  <c r="DF84" i="3" s="1"/>
  <c r="DF102" i="3" s="1"/>
  <c r="DN63" i="3"/>
  <c r="DF79" i="3"/>
  <c r="DD63" i="3"/>
  <c r="DD56" i="3"/>
  <c r="CL75" i="3"/>
  <c r="DD71" i="3"/>
  <c r="CL86" i="3"/>
  <c r="CD85" i="3"/>
  <c r="DP27" i="3"/>
  <c r="BP74" i="3"/>
  <c r="DC73" i="3"/>
  <c r="DA72" i="3"/>
  <c r="BT72" i="3"/>
  <c r="DJ69" i="3"/>
  <c r="DC65" i="3"/>
  <c r="DN62" i="3"/>
  <c r="DC58" i="3"/>
  <c r="CB57" i="3"/>
  <c r="BT57" i="3"/>
  <c r="DJ54" i="3"/>
  <c r="DG51" i="3"/>
  <c r="DD49" i="3"/>
  <c r="CI46" i="3"/>
  <c r="BR46" i="3"/>
  <c r="DI43" i="3"/>
  <c r="DA41" i="3"/>
  <c r="CP41" i="3"/>
  <c r="CT39" i="3"/>
  <c r="BV39" i="3"/>
  <c r="DG38" i="3"/>
  <c r="DD37" i="3"/>
  <c r="DU35" i="3"/>
  <c r="BX34" i="3"/>
  <c r="DF30" i="3"/>
  <c r="DA75" i="3"/>
  <c r="CL67" i="3"/>
  <c r="CY47" i="3"/>
  <c r="CM47" i="3"/>
  <c r="BZ35" i="3"/>
  <c r="DP30" i="3"/>
  <c r="CL27" i="3"/>
  <c r="BR27" i="3"/>
  <c r="BB105" i="3"/>
  <c r="AL98" i="3"/>
  <c r="V98" i="3"/>
  <c r="AQ104" i="3"/>
  <c r="X95" i="3"/>
  <c r="CD90" i="3"/>
  <c r="BV90" i="3"/>
  <c r="BR89" i="3"/>
  <c r="DS81" i="3"/>
  <c r="BL80" i="3"/>
  <c r="DD77" i="3"/>
  <c r="CH75" i="3"/>
  <c r="CD30" i="3"/>
  <c r="EA25" i="3"/>
  <c r="U37" i="3"/>
  <c r="U45" i="3"/>
  <c r="U96" i="3"/>
  <c r="AK105" i="3"/>
  <c r="CQ94" i="3"/>
  <c r="CP90" i="3"/>
  <c r="CB90" i="3"/>
  <c r="CP87" i="3"/>
  <c r="CB87" i="3"/>
  <c r="DD83" i="3"/>
  <c r="DD84" i="3" s="1"/>
  <c r="DD102" i="3" s="1"/>
  <c r="DC80" i="3"/>
  <c r="CM79" i="3"/>
  <c r="U46" i="3"/>
  <c r="CY28" i="3"/>
  <c r="U15" i="3"/>
  <c r="U23" i="3"/>
  <c r="BC23" i="3" s="1"/>
  <c r="DY23" i="3" s="1"/>
  <c r="U55" i="3"/>
  <c r="U62" i="3"/>
  <c r="U70" i="3"/>
  <c r="U78" i="3"/>
  <c r="CM70" i="3"/>
  <c r="DN79" i="3"/>
  <c r="DP79" i="3"/>
  <c r="CY25" i="3"/>
  <c r="DA25" i="3"/>
  <c r="CE7" i="3"/>
  <c r="X100" i="3"/>
  <c r="X8" i="3"/>
  <c r="I84" i="3"/>
  <c r="I102" i="3" s="1"/>
  <c r="DG81" i="3"/>
  <c r="DI81" i="3"/>
  <c r="DM89" i="3"/>
  <c r="CM81" i="3"/>
  <c r="CP81" i="3"/>
  <c r="CM62" i="3"/>
  <c r="DN94" i="3"/>
  <c r="CH89" i="3"/>
  <c r="AG84" i="3"/>
  <c r="AG102" i="3" s="1"/>
  <c r="DA83" i="3"/>
  <c r="DA84" i="3" s="1"/>
  <c r="DA102" i="3" s="1"/>
  <c r="P84" i="3"/>
  <c r="P102" i="3" s="1"/>
  <c r="AQ95" i="3"/>
  <c r="DA87" i="3"/>
  <c r="CY87" i="3"/>
  <c r="DP83" i="3"/>
  <c r="DP84" i="3" s="1"/>
  <c r="DP102" i="3" s="1"/>
  <c r="CM55" i="3"/>
  <c r="CY34" i="3"/>
  <c r="DG22" i="3"/>
  <c r="CP94" i="3"/>
  <c r="CT94" i="3"/>
  <c r="CM87" i="3"/>
  <c r="BP89" i="3"/>
  <c r="AK98" i="3"/>
  <c r="DS67" i="3"/>
  <c r="DD96" i="3"/>
  <c r="CI85" i="3"/>
  <c r="W84" i="3"/>
  <c r="W102" i="3" s="1"/>
  <c r="AL105" i="3"/>
  <c r="EE98" i="3"/>
  <c r="CT42" i="3"/>
  <c r="AR105" i="3"/>
  <c r="DA63" i="3"/>
  <c r="U90" i="3"/>
  <c r="BC90" i="3" s="1"/>
  <c r="DY90" i="3" s="1"/>
  <c r="DG76" i="3"/>
  <c r="BA104" i="3"/>
  <c r="BV26" i="3"/>
  <c r="AX105" i="3"/>
  <c r="AH98" i="3"/>
  <c r="BF105" i="3"/>
  <c r="AE98" i="3"/>
  <c r="N105" i="3"/>
  <c r="AR95" i="3"/>
  <c r="AJ95" i="3"/>
  <c r="CI72" i="3"/>
  <c r="DQ41" i="3"/>
  <c r="BN7" i="3"/>
  <c r="AX104" i="3"/>
  <c r="AX95" i="3"/>
  <c r="AU105" i="3"/>
  <c r="AU98" i="3"/>
  <c r="W98" i="3"/>
  <c r="CE96" i="3"/>
  <c r="CM93" i="3"/>
  <c r="CI69" i="3"/>
  <c r="CY64" i="3"/>
  <c r="DA64" i="3"/>
  <c r="DP61" i="3"/>
  <c r="BN61" i="3"/>
  <c r="CL54" i="3"/>
  <c r="CI54" i="3"/>
  <c r="DP47" i="3"/>
  <c r="DN47" i="3"/>
  <c r="DS46" i="3"/>
  <c r="DQ46" i="3"/>
  <c r="DM46" i="3"/>
  <c r="CT75" i="3"/>
  <c r="DN70" i="3"/>
  <c r="DP70" i="3"/>
  <c r="DF69" i="3"/>
  <c r="CT69" i="3"/>
  <c r="CH69" i="3"/>
  <c r="CD69" i="3"/>
  <c r="DA57" i="3"/>
  <c r="DD94" i="3"/>
  <c r="DU46" i="3"/>
  <c r="BT69" i="3"/>
  <c r="CH74" i="3"/>
  <c r="DD68" i="3"/>
  <c r="CP57" i="3"/>
  <c r="DN55" i="3"/>
  <c r="DP55" i="3"/>
  <c r="DU54" i="3"/>
  <c r="DP54" i="3"/>
  <c r="CT54" i="3"/>
  <c r="CD54" i="3"/>
  <c r="EA54" i="3"/>
  <c r="CY49" i="3"/>
  <c r="DM69" i="3"/>
  <c r="DF54" i="3"/>
  <c r="CL69" i="3"/>
  <c r="CP72" i="3"/>
  <c r="CM72" i="3"/>
  <c r="DS69" i="3"/>
  <c r="DQ69" i="3"/>
  <c r="CP64" i="3"/>
  <c r="CM64" i="3"/>
  <c r="DP46" i="3"/>
  <c r="N98" i="3"/>
  <c r="CD97" i="3"/>
  <c r="Q105" i="3"/>
  <c r="DD53" i="3"/>
  <c r="CI49" i="3"/>
  <c r="DX49" i="3"/>
  <c r="DN49" i="3"/>
  <c r="DJ49" i="3"/>
  <c r="CP49" i="3"/>
  <c r="CM49" i="3"/>
  <c r="CL46" i="3"/>
  <c r="EA69" i="3"/>
  <c r="BV97" i="3"/>
  <c r="DN93" i="3"/>
  <c r="DX93" i="3"/>
  <c r="DX75" i="3"/>
  <c r="CM75" i="3"/>
  <c r="DG75" i="3"/>
  <c r="DJ75" i="3"/>
  <c r="DQ75" i="3"/>
  <c r="CY75" i="3"/>
  <c r="DD64" i="3"/>
  <c r="DX64" i="3"/>
  <c r="DJ64" i="3"/>
  <c r="DN64" i="3"/>
  <c r="DS54" i="3"/>
  <c r="DJ46" i="3"/>
  <c r="CB54" i="3"/>
  <c r="CP93" i="3"/>
  <c r="BA95" i="3"/>
  <c r="W105" i="3"/>
  <c r="DD72" i="3"/>
  <c r="Q98" i="3"/>
  <c r="AZ104" i="3"/>
  <c r="AR104" i="3"/>
  <c r="AJ104" i="3"/>
  <c r="BI98" i="3"/>
  <c r="Y104" i="3"/>
  <c r="DD24" i="3"/>
  <c r="DI38" i="3"/>
  <c r="DX83" i="3"/>
  <c r="DX84" i="3" s="1"/>
  <c r="DX102" i="3" s="1"/>
  <c r="CE28" i="3"/>
  <c r="CE21" i="3"/>
  <c r="BP17" i="3"/>
  <c r="DJ41" i="3"/>
  <c r="DD41" i="3"/>
  <c r="DC31" i="3"/>
  <c r="CP31" i="3"/>
  <c r="CM29" i="3"/>
  <c r="K84" i="3"/>
  <c r="K102" i="3" s="1"/>
  <c r="BT81" i="3"/>
  <c r="DN97" i="3"/>
  <c r="CB92" i="3"/>
  <c r="CY81" i="3"/>
  <c r="CH35" i="3"/>
  <c r="CQ39" i="3"/>
  <c r="DX41" i="3"/>
  <c r="DN76" i="3"/>
  <c r="BX17" i="3"/>
  <c r="CB31" i="3"/>
  <c r="CH90" i="3"/>
  <c r="CE90" i="3"/>
  <c r="CM41" i="3"/>
  <c r="DN27" i="3"/>
  <c r="DF31" i="3"/>
  <c r="CE87" i="3"/>
  <c r="BL85" i="3"/>
  <c r="DS85" i="3"/>
  <c r="DF80" i="3"/>
  <c r="DU66" i="3"/>
  <c r="DC64" i="3"/>
  <c r="DU51" i="3"/>
  <c r="EA24" i="3"/>
  <c r="BV20" i="3"/>
  <c r="CE39" i="3"/>
  <c r="DQ21" i="3"/>
  <c r="DX31" i="3"/>
  <c r="EB91" i="3"/>
  <c r="EA67" i="3"/>
  <c r="CH52" i="3"/>
  <c r="BX55" i="3"/>
  <c r="BZ20" i="3"/>
  <c r="DJ68" i="3"/>
  <c r="DU67" i="3"/>
  <c r="DC61" i="3"/>
  <c r="DC46" i="3"/>
  <c r="DU22" i="3"/>
  <c r="AE105" i="3"/>
  <c r="DU86" i="3"/>
  <c r="EB84" i="3"/>
  <c r="EB102" i="3" s="1"/>
  <c r="DU62" i="3"/>
  <c r="DU47" i="3"/>
  <c r="DN83" i="3"/>
  <c r="DN84" i="3" s="1"/>
  <c r="DN102" i="3" s="1"/>
  <c r="U14" i="3"/>
  <c r="CI63" i="3"/>
  <c r="CL63" i="3"/>
  <c r="DS59" i="3"/>
  <c r="DF25" i="3"/>
  <c r="DD25" i="3"/>
  <c r="DN24" i="3"/>
  <c r="DP24" i="3"/>
  <c r="CD23" i="3"/>
  <c r="BN23" i="3"/>
  <c r="CB23" i="3"/>
  <c r="DF23" i="3"/>
  <c r="DP23" i="3"/>
  <c r="EA23" i="3"/>
  <c r="CP23" i="3"/>
  <c r="DC23" i="3"/>
  <c r="BV23" i="3"/>
  <c r="DU23" i="3"/>
  <c r="DI23" i="3"/>
  <c r="CI20" i="3"/>
  <c r="CE20" i="3"/>
  <c r="DG20" i="3"/>
  <c r="CY20" i="3"/>
  <c r="CM20" i="3"/>
  <c r="CP20" i="3"/>
  <c r="DU19" i="3"/>
  <c r="DJ67" i="3"/>
  <c r="DM67" i="3"/>
  <c r="BX64" i="3"/>
  <c r="BX48" i="3"/>
  <c r="EA48" i="3"/>
  <c r="DC48" i="3"/>
  <c r="CT48" i="3"/>
  <c r="DF48" i="3"/>
  <c r="DA48" i="3"/>
  <c r="BP48" i="3"/>
  <c r="BT48" i="3"/>
  <c r="DQ40" i="3"/>
  <c r="CL36" i="3"/>
  <c r="DG30" i="3"/>
  <c r="CL26" i="3"/>
  <c r="CX26" i="3"/>
  <c r="CB67" i="3"/>
  <c r="DQ63" i="3"/>
  <c r="CE55" i="3"/>
  <c r="CB52" i="3"/>
  <c r="CE51" i="3"/>
  <c r="CX42" i="3"/>
  <c r="CT41" i="3"/>
  <c r="CQ41" i="3"/>
  <c r="CL40" i="3"/>
  <c r="CI40" i="3"/>
  <c r="DF33" i="3"/>
  <c r="EA33" i="3"/>
  <c r="BN33" i="3"/>
  <c r="CT33" i="3"/>
  <c r="BP33" i="3"/>
  <c r="DP33" i="3"/>
  <c r="DC33" i="3"/>
  <c r="CD33" i="3"/>
  <c r="DD28" i="3"/>
  <c r="DF96" i="3"/>
  <c r="CH55" i="3"/>
  <c r="CI67" i="3"/>
  <c r="BP66" i="3"/>
  <c r="CE62" i="3"/>
  <c r="CH62" i="3"/>
  <c r="BX59" i="3"/>
  <c r="BP59" i="3"/>
  <c r="CP59" i="3"/>
  <c r="BN59" i="3"/>
  <c r="DI59" i="3"/>
  <c r="BZ59" i="3"/>
  <c r="BR59" i="3"/>
  <c r="BL59" i="3"/>
  <c r="CL56" i="3"/>
  <c r="CI56" i="3"/>
  <c r="DC54" i="3"/>
  <c r="CB44" i="3"/>
  <c r="BZ42" i="3"/>
  <c r="BX41" i="3"/>
  <c r="BN35" i="3"/>
  <c r="DQ59" i="3"/>
  <c r="CT96" i="3"/>
  <c r="CD96" i="3"/>
  <c r="CB96" i="3"/>
  <c r="CP96" i="3"/>
  <c r="BH105" i="3"/>
  <c r="DU96" i="3"/>
  <c r="BV96" i="3"/>
  <c r="BT63" i="3"/>
  <c r="CL59" i="3"/>
  <c r="CI59" i="3"/>
  <c r="CT56" i="3"/>
  <c r="DU56" i="3"/>
  <c r="DP56" i="3"/>
  <c r="DF56" i="3"/>
  <c r="BL56" i="3"/>
  <c r="DC56" i="3"/>
  <c r="CD56" i="3"/>
  <c r="DA52" i="3"/>
  <c r="DI52" i="3"/>
  <c r="CP52" i="3"/>
  <c r="DU52" i="3"/>
  <c r="BL52" i="3"/>
  <c r="EA52" i="3"/>
  <c r="DC52" i="3"/>
  <c r="BZ52" i="3"/>
  <c r="CT52" i="3"/>
  <c r="CL48" i="3"/>
  <c r="CI48" i="3"/>
  <c r="DM44" i="3"/>
  <c r="DJ44" i="3"/>
  <c r="DP38" i="3"/>
  <c r="DJ36" i="3"/>
  <c r="DM36" i="3"/>
  <c r="DS33" i="3"/>
  <c r="DQ33" i="3"/>
  <c r="DN31" i="3"/>
  <c r="DP31" i="3"/>
  <c r="CE29" i="3"/>
  <c r="BX27" i="3"/>
  <c r="BT26" i="3"/>
  <c r="DA59" i="3"/>
  <c r="AN105" i="3"/>
  <c r="CX65" i="3"/>
  <c r="CQ64" i="3"/>
  <c r="CT64" i="3"/>
  <c r="CB63" i="3"/>
  <c r="DM59" i="3"/>
  <c r="DJ59" i="3"/>
  <c r="CQ57" i="3"/>
  <c r="CT57" i="3"/>
  <c r="CI52" i="3"/>
  <c r="CL52" i="3"/>
  <c r="DC50" i="3"/>
  <c r="DS48" i="3"/>
  <c r="DQ48" i="3"/>
  <c r="DS44" i="3"/>
  <c r="DQ44" i="3"/>
  <c r="DU43" i="3"/>
  <c r="DM40" i="3"/>
  <c r="DF39" i="3"/>
  <c r="DD39" i="3"/>
  <c r="DJ33" i="3"/>
  <c r="DM33" i="3"/>
  <c r="BZ31" i="3"/>
  <c r="CT27" i="3"/>
  <c r="CQ27" i="3"/>
  <c r="EA26" i="3"/>
  <c r="DI26" i="3"/>
  <c r="CH26" i="3"/>
  <c r="DP26" i="3"/>
  <c r="CP26" i="3"/>
  <c r="DA26" i="3"/>
  <c r="DU26" i="3"/>
  <c r="DC26" i="3"/>
  <c r="BZ26" i="3"/>
  <c r="DM52" i="3"/>
  <c r="CE47" i="3"/>
  <c r="CL44" i="3"/>
  <c r="CI44" i="3"/>
  <c r="CE43" i="3"/>
  <c r="CB40" i="3"/>
  <c r="BX36" i="3"/>
  <c r="CP36" i="3"/>
  <c r="CH36" i="3"/>
  <c r="DM26" i="3"/>
  <c r="DJ26" i="3"/>
  <c r="BX63" i="3"/>
  <c r="CP63" i="3"/>
  <c r="DC63" i="3"/>
  <c r="BV63" i="3"/>
  <c r="BL63" i="3"/>
  <c r="DF63" i="3"/>
  <c r="CB59" i="3"/>
  <c r="DS56" i="3"/>
  <c r="DQ56" i="3"/>
  <c r="DS52" i="3"/>
  <c r="DQ52" i="3"/>
  <c r="CQ49" i="3"/>
  <c r="BL44" i="3"/>
  <c r="EA44" i="3"/>
  <c r="CP44" i="3"/>
  <c r="BX44" i="3"/>
  <c r="CH44" i="3"/>
  <c r="DA44" i="3"/>
  <c r="DU44" i="3"/>
  <c r="DF44" i="3"/>
  <c r="BP44" i="3"/>
  <c r="CT44" i="3"/>
  <c r="DI44" i="3"/>
  <c r="BV40" i="3"/>
  <c r="BR40" i="3"/>
  <c r="BL40" i="3"/>
  <c r="EA40" i="3"/>
  <c r="DC40" i="3"/>
  <c r="CP40" i="3"/>
  <c r="DP40" i="3"/>
  <c r="CT40" i="3"/>
  <c r="DA40" i="3"/>
  <c r="DF40" i="3"/>
  <c r="DQ36" i="3"/>
  <c r="DP34" i="3"/>
  <c r="DN34" i="3"/>
  <c r="DS26" i="3"/>
  <c r="CE19" i="3"/>
  <c r="CH19" i="3"/>
  <c r="DA17" i="3"/>
  <c r="CD17" i="3"/>
  <c r="BV17" i="3"/>
  <c r="BZ11" i="3"/>
  <c r="CP10" i="3"/>
  <c r="DS97" i="3"/>
  <c r="DM97" i="3"/>
  <c r="DP96" i="3"/>
  <c r="AQ98" i="3"/>
  <c r="DX94" i="3"/>
  <c r="CQ96" i="3"/>
  <c r="BR94" i="3"/>
  <c r="CY68" i="3"/>
  <c r="CB77" i="3"/>
  <c r="BV77" i="3"/>
  <c r="BA98" i="3"/>
  <c r="AZ105" i="3"/>
  <c r="BX94" i="3"/>
  <c r="EC98" i="3"/>
  <c r="EF105" i="3"/>
  <c r="DG68" i="3"/>
  <c r="DQ85" i="3"/>
  <c r="DP81" i="3"/>
  <c r="CQ80" i="3"/>
  <c r="DI69" i="3"/>
  <c r="EA31" i="3"/>
  <c r="EE105" i="3"/>
  <c r="EF98" i="3"/>
  <c r="DA58" i="3"/>
  <c r="DQ54" i="3"/>
  <c r="DI31" i="3"/>
  <c r="CQ12" i="3"/>
  <c r="DA11" i="3"/>
  <c r="DU97" i="3"/>
  <c r="BR97" i="3"/>
  <c r="AZ95" i="3"/>
  <c r="BP92" i="3"/>
  <c r="CQ87" i="3"/>
  <c r="BV75" i="3"/>
  <c r="DI74" i="3"/>
  <c r="DN71" i="3"/>
  <c r="DC14" i="3"/>
  <c r="ED98" i="3"/>
  <c r="BL16" i="3"/>
  <c r="ED105" i="3"/>
  <c r="EC105" i="3"/>
  <c r="DJ89" i="3"/>
  <c r="CI89" i="3"/>
  <c r="CP56" i="3"/>
  <c r="BV56" i="3"/>
  <c r="DM27" i="3"/>
  <c r="BT27" i="3"/>
  <c r="AD105" i="3"/>
  <c r="CH96" i="3"/>
  <c r="DC94" i="3"/>
  <c r="BX93" i="3"/>
  <c r="AO95" i="3"/>
  <c r="CP92" i="3"/>
  <c r="CL81" i="3"/>
  <c r="CI65" i="3"/>
  <c r="DU59" i="3"/>
  <c r="CH59" i="3"/>
  <c r="DU55" i="3"/>
  <c r="DP48" i="3"/>
  <c r="CD38" i="3"/>
  <c r="BZ36" i="3"/>
  <c r="DS36" i="3"/>
  <c r="CI36" i="3"/>
  <c r="CB36" i="3"/>
  <c r="BZ34" i="3"/>
  <c r="DA33" i="3"/>
  <c r="DA28" i="3"/>
  <c r="AZ98" i="3"/>
  <c r="DC72" i="3"/>
  <c r="DU69" i="3"/>
  <c r="BR60" i="3"/>
  <c r="CQ52" i="3"/>
  <c r="BX52" i="3"/>
  <c r="CB47" i="3"/>
  <c r="DC42" i="3"/>
  <c r="CP42" i="3"/>
  <c r="BV42" i="3"/>
  <c r="DD7" i="3"/>
  <c r="DX12" i="3"/>
  <c r="DX28" i="3"/>
  <c r="DQ93" i="3"/>
  <c r="CL93" i="3"/>
  <c r="DJ77" i="3"/>
  <c r="BT66" i="3"/>
  <c r="CE60" i="3"/>
  <c r="DF46" i="3"/>
  <c r="BN46" i="3"/>
  <c r="BZ44" i="3"/>
  <c r="DI42" i="3"/>
  <c r="CL25" i="3"/>
  <c r="DM10" i="3"/>
  <c r="AO100" i="3"/>
  <c r="BF104" i="3"/>
  <c r="CP67" i="3"/>
  <c r="CT63" i="3"/>
  <c r="CL58" i="3"/>
  <c r="BP43" i="3"/>
  <c r="DU28" i="3"/>
  <c r="CT26" i="3"/>
  <c r="BX26" i="3"/>
  <c r="DI10" i="3"/>
  <c r="O105" i="3"/>
  <c r="DP80" i="3"/>
  <c r="DU77" i="3"/>
  <c r="BZ74" i="3"/>
  <c r="CP19" i="3"/>
  <c r="DG18" i="3"/>
  <c r="BX16" i="3"/>
  <c r="BP10" i="3"/>
  <c r="BT35" i="3"/>
  <c r="CB26" i="3"/>
  <c r="BB98" i="3"/>
  <c r="BV27" i="3"/>
  <c r="DA20" i="3"/>
  <c r="DI19" i="3"/>
  <c r="DF74" i="3"/>
  <c r="BN74" i="3"/>
  <c r="CT71" i="3"/>
  <c r="DF71" i="3"/>
  <c r="DA71" i="3"/>
  <c r="DC71" i="3"/>
  <c r="DQ71" i="3"/>
  <c r="CI71" i="3"/>
  <c r="CB71" i="3"/>
  <c r="CH70" i="3"/>
  <c r="CE70" i="3"/>
  <c r="CH66" i="3"/>
  <c r="CE66" i="3"/>
  <c r="DI66" i="3"/>
  <c r="DG66" i="3"/>
  <c r="DJ53" i="3"/>
  <c r="DM53" i="3"/>
  <c r="DC97" i="3"/>
  <c r="AJ98" i="3"/>
  <c r="AC98" i="3"/>
  <c r="AT98" i="3"/>
  <c r="BF95" i="3"/>
  <c r="CL88" i="3"/>
  <c r="DF87" i="3"/>
  <c r="EA87" i="3"/>
  <c r="DI87" i="3"/>
  <c r="DS87" i="3"/>
  <c r="DQ87" i="3"/>
  <c r="CL87" i="3"/>
  <c r="CI87" i="3"/>
  <c r="DJ97" i="3"/>
  <c r="CE97" i="3"/>
  <c r="AA104" i="3"/>
  <c r="CX92" i="3"/>
  <c r="S104" i="3"/>
  <c r="S95" i="3"/>
  <c r="AP104" i="3"/>
  <c r="DX81" i="3"/>
  <c r="CI81" i="3"/>
  <c r="DM88" i="3"/>
  <c r="AY104" i="3"/>
  <c r="AY95" i="3"/>
  <c r="Z84" i="3"/>
  <c r="Z102" i="3" s="1"/>
  <c r="CL97" i="3"/>
  <c r="AJ105" i="3"/>
  <c r="DC96" i="3"/>
  <c r="AX98" i="3"/>
  <c r="DF86" i="3"/>
  <c r="BT86" i="3"/>
  <c r="DN72" i="3"/>
  <c r="CY72" i="3"/>
  <c r="DI62" i="3"/>
  <c r="DD88" i="3"/>
  <c r="CM80" i="3"/>
  <c r="DN80" i="3"/>
  <c r="BX92" i="3"/>
  <c r="CI75" i="3"/>
  <c r="DS89" i="3"/>
  <c r="DQ89" i="3"/>
  <c r="CH65" i="3"/>
  <c r="EA65" i="3"/>
  <c r="DI65" i="3"/>
  <c r="BZ65" i="3"/>
  <c r="DM65" i="3"/>
  <c r="DG47" i="3"/>
  <c r="DP51" i="3"/>
  <c r="BZ51" i="3"/>
  <c r="AC105" i="3"/>
  <c r="DU92" i="3"/>
  <c r="CB85" i="3"/>
  <c r="CT79" i="3"/>
  <c r="CQ79" i="3"/>
  <c r="DX43" i="3"/>
  <c r="DG43" i="3"/>
  <c r="CY71" i="3"/>
  <c r="CE68" i="3"/>
  <c r="DA65" i="3"/>
  <c r="BT56" i="3"/>
  <c r="DJ51" i="3"/>
  <c r="EA46" i="3"/>
  <c r="CP25" i="3"/>
  <c r="DU14" i="3"/>
  <c r="DG89" i="3"/>
  <c r="DI86" i="3"/>
  <c r="CP75" i="3"/>
  <c r="CY73" i="3"/>
  <c r="DD67" i="3"/>
  <c r="BR63" i="3"/>
  <c r="DJ52" i="3"/>
  <c r="CE75" i="3"/>
  <c r="DC60" i="3"/>
  <c r="BZ50" i="3"/>
  <c r="CD46" i="3"/>
  <c r="AW100" i="3"/>
  <c r="DI36" i="3"/>
  <c r="CY74" i="3"/>
  <c r="DQ73" i="3"/>
  <c r="DG72" i="3"/>
  <c r="DP69" i="3"/>
  <c r="DA56" i="3"/>
  <c r="CT49" i="3"/>
  <c r="BV48" i="3"/>
  <c r="CD22" i="3"/>
  <c r="DG7" i="3"/>
  <c r="AN100" i="3"/>
  <c r="BP36" i="3"/>
  <c r="BL86" i="3"/>
  <c r="CP83" i="3"/>
  <c r="CP84" i="3" s="1"/>
  <c r="CP102" i="3" s="1"/>
  <c r="DD80" i="3"/>
  <c r="CI74" i="3"/>
  <c r="BT74" i="3"/>
  <c r="DG73" i="3"/>
  <c r="BL66" i="3"/>
  <c r="BN57" i="3"/>
  <c r="CH47" i="3"/>
  <c r="BL31" i="3"/>
  <c r="DQ26" i="3"/>
  <c r="BX24" i="3"/>
  <c r="EB104" i="3"/>
  <c r="BZ87" i="3"/>
  <c r="CE81" i="3"/>
  <c r="BP81" i="3"/>
  <c r="DD79" i="3"/>
  <c r="DN77" i="3"/>
  <c r="DG74" i="3"/>
  <c r="DA67" i="3"/>
  <c r="DP63" i="3"/>
  <c r="DP62" i="3"/>
  <c r="CD61" i="3"/>
  <c r="DG58" i="3"/>
  <c r="DF52" i="3"/>
  <c r="BN52" i="3"/>
  <c r="CY50" i="3"/>
  <c r="DP25" i="3"/>
  <c r="EA41" i="3"/>
  <c r="CT86" i="3"/>
  <c r="DS61" i="3"/>
  <c r="DM61" i="3"/>
  <c r="CB55" i="3"/>
  <c r="DM54" i="3"/>
  <c r="DD48" i="3"/>
  <c r="CE18" i="3"/>
  <c r="CE14" i="3"/>
  <c r="DI14" i="3"/>
  <c r="CH13" i="3"/>
  <c r="CY17" i="3"/>
  <c r="R95" i="3"/>
  <c r="R104" i="3"/>
  <c r="DX97" i="3"/>
  <c r="CI97" i="3"/>
  <c r="V105" i="3"/>
  <c r="DP94" i="3"/>
  <c r="DQ94" i="3"/>
  <c r="EA89" i="3"/>
  <c r="DI61" i="3"/>
  <c r="DF61" i="3"/>
  <c r="DX30" i="3"/>
  <c r="DJ30" i="3"/>
  <c r="F8" i="3"/>
  <c r="BT94" i="3"/>
  <c r="DI97" i="3"/>
  <c r="BI105" i="3"/>
  <c r="DJ94" i="3"/>
  <c r="BB104" i="3"/>
  <c r="BT51" i="3"/>
  <c r="DG46" i="3"/>
  <c r="DD46" i="3"/>
  <c r="CI38" i="3"/>
  <c r="DN38" i="3"/>
  <c r="DU36" i="3"/>
  <c r="DA36" i="3"/>
  <c r="BV36" i="3"/>
  <c r="DQ20" i="3"/>
  <c r="DP15" i="3"/>
  <c r="DC15" i="3"/>
  <c r="CP15" i="3"/>
  <c r="DG14" i="3"/>
  <c r="DS20" i="3"/>
  <c r="DM51" i="3"/>
  <c r="CD73" i="3"/>
  <c r="CI29" i="3"/>
  <c r="CY86" i="3"/>
  <c r="CQ20" i="3"/>
  <c r="DF15" i="3"/>
  <c r="CB15" i="3"/>
  <c r="CY26" i="3"/>
  <c r="DN46" i="3"/>
  <c r="CQ62" i="3"/>
  <c r="DG86" i="3"/>
  <c r="CQ90" i="3"/>
  <c r="BH98" i="3"/>
  <c r="AT103" i="3"/>
  <c r="DQ81" i="3"/>
  <c r="CM26" i="3"/>
  <c r="DN30" i="3"/>
  <c r="DA74" i="3"/>
  <c r="DI89" i="3"/>
  <c r="DA73" i="3"/>
  <c r="DQ86" i="3"/>
  <c r="CT15" i="3"/>
  <c r="BL36" i="3"/>
  <c r="CQ26" i="3"/>
  <c r="DX46" i="3"/>
  <c r="CI58" i="3"/>
  <c r="CT61" i="3"/>
  <c r="DU61" i="3"/>
  <c r="CI93" i="3"/>
  <c r="EA94" i="3"/>
  <c r="CH86" i="3"/>
  <c r="CE86" i="3"/>
  <c r="AD98" i="3"/>
  <c r="J95" i="3"/>
  <c r="CI30" i="3"/>
  <c r="DP77" i="3"/>
  <c r="EA36" i="3"/>
  <c r="DN81" i="3"/>
  <c r="DQ30" i="3"/>
  <c r="DD30" i="3"/>
  <c r="DX20" i="3"/>
  <c r="CM96" i="3"/>
  <c r="DU15" i="3"/>
  <c r="CI26" i="3"/>
  <c r="DI51" i="3"/>
  <c r="DG50" i="3"/>
  <c r="EA61" i="3"/>
  <c r="CL61" i="3"/>
  <c r="BL94" i="3"/>
  <c r="EA83" i="3"/>
  <c r="EA84" i="3" s="1"/>
  <c r="EA102" i="3" s="1"/>
  <c r="BX79" i="3"/>
  <c r="CD79" i="3"/>
  <c r="CL79" i="3"/>
  <c r="CY76" i="3"/>
  <c r="CL94" i="3"/>
  <c r="CB51" i="3"/>
  <c r="BP51" i="3"/>
  <c r="DX86" i="3"/>
  <c r="DN50" i="3"/>
  <c r="DJ20" i="3"/>
  <c r="CT36" i="3"/>
  <c r="DX26" i="3"/>
  <c r="DA51" i="3"/>
  <c r="EA51" i="3"/>
  <c r="BV89" i="3"/>
  <c r="DG97" i="3"/>
  <c r="DF94" i="3"/>
  <c r="DX90" i="3"/>
  <c r="CM90" i="3"/>
  <c r="BP83" i="3"/>
  <c r="BP84" i="3" s="1"/>
  <c r="BP102" i="3" s="1"/>
  <c r="F84" i="3"/>
  <c r="F102" i="3" s="1"/>
  <c r="DJ72" i="3"/>
  <c r="CT72" i="3"/>
  <c r="CQ72" i="3"/>
  <c r="DI70" i="3"/>
  <c r="CI60" i="3"/>
  <c r="DD60" i="3"/>
  <c r="CT24" i="3"/>
  <c r="DC69" i="3"/>
  <c r="BR69" i="3"/>
  <c r="DM57" i="3"/>
  <c r="BV51" i="3"/>
  <c r="DU38" i="3"/>
  <c r="CP33" i="3"/>
  <c r="CD31" i="3"/>
  <c r="DS24" i="3"/>
  <c r="CP78" i="3"/>
  <c r="DI67" i="3"/>
  <c r="CD43" i="3"/>
  <c r="BV43" i="3"/>
  <c r="CM34" i="3"/>
  <c r="DN73" i="3"/>
  <c r="CH51" i="3"/>
  <c r="EA30" i="3"/>
  <c r="DX58" i="3"/>
  <c r="EA86" i="3"/>
  <c r="AP105" i="3"/>
  <c r="DD32" i="3"/>
  <c r="AT100" i="3"/>
  <c r="DI8" i="3"/>
  <c r="DS4" i="3"/>
  <c r="BX4" i="3"/>
  <c r="BN4" i="3"/>
  <c r="BH8" i="3"/>
  <c r="BV4" i="3"/>
  <c r="BT4" i="3"/>
  <c r="BT8" i="3" s="1"/>
  <c r="DX9" i="3"/>
  <c r="EA9" i="3"/>
  <c r="E69" i="14"/>
  <c r="E94" i="14"/>
  <c r="E93" i="14"/>
  <c r="E89" i="14"/>
  <c r="E21" i="14"/>
  <c r="E31" i="14"/>
  <c r="E28" i="14"/>
  <c r="E15" i="14"/>
  <c r="F27" i="14"/>
  <c r="F24" i="14"/>
  <c r="F19" i="14"/>
  <c r="F55" i="14"/>
  <c r="E58" i="14"/>
  <c r="E84" i="14"/>
  <c r="E83" i="14"/>
  <c r="E30" i="14"/>
  <c r="E9" i="14"/>
  <c r="E19" i="14"/>
  <c r="E16" i="14"/>
  <c r="F10" i="14"/>
  <c r="F94" i="14"/>
  <c r="F12" i="14"/>
  <c r="E48" i="14"/>
  <c r="E67" i="14"/>
  <c r="E66" i="14"/>
  <c r="E92" i="14"/>
  <c r="E62" i="14"/>
  <c r="E5" i="14"/>
  <c r="E86" i="14"/>
  <c r="F67" i="14"/>
  <c r="F59" i="14"/>
  <c r="F86" i="14"/>
  <c r="F49" i="14"/>
  <c r="E38" i="14"/>
  <c r="E57" i="14"/>
  <c r="E55" i="14"/>
  <c r="E81" i="14"/>
  <c r="E90" i="14"/>
  <c r="E88" i="14"/>
  <c r="E70" i="14"/>
  <c r="F45" i="14"/>
  <c r="F39" i="14"/>
  <c r="F31" i="14"/>
  <c r="F48" i="14"/>
  <c r="E25" i="14"/>
  <c r="E47" i="14"/>
  <c r="E45" i="14"/>
  <c r="E64" i="14"/>
  <c r="E80" i="14"/>
  <c r="E71" i="14"/>
  <c r="E59" i="14"/>
  <c r="E52" i="14"/>
  <c r="E13" i="14"/>
  <c r="E37" i="14"/>
  <c r="E34" i="14"/>
  <c r="E54" i="14"/>
  <c r="E63" i="14"/>
  <c r="E60" i="14"/>
  <c r="E49" i="14"/>
  <c r="E42" i="14"/>
  <c r="F37" i="14"/>
  <c r="E79" i="14"/>
  <c r="E24" i="14"/>
  <c r="E22" i="14"/>
  <c r="E44" i="14"/>
  <c r="E53" i="14"/>
  <c r="E50" i="14"/>
  <c r="E39" i="14"/>
  <c r="F70" i="14"/>
  <c r="F66" i="14"/>
  <c r="F57" i="14"/>
  <c r="BN18" i="3"/>
  <c r="G100" i="3"/>
  <c r="G8" i="3"/>
  <c r="BT11" i="3"/>
  <c r="I103" i="3"/>
  <c r="BV85" i="3"/>
  <c r="BV93" i="3"/>
  <c r="I95" i="3"/>
  <c r="I104" i="3"/>
  <c r="BL75" i="3"/>
  <c r="BL67" i="3"/>
  <c r="BN38" i="3"/>
  <c r="BT24" i="3"/>
  <c r="BV29" i="3"/>
  <c r="BL61" i="3"/>
  <c r="BR33" i="3"/>
  <c r="E100" i="3"/>
  <c r="BN94" i="3"/>
  <c r="BP38" i="3"/>
  <c r="BN31" i="3"/>
  <c r="BN44" i="3"/>
  <c r="BN85" i="3"/>
  <c r="E103" i="3"/>
  <c r="BP52" i="3"/>
  <c r="BX47" i="3"/>
  <c r="G82" i="3"/>
  <c r="BL72" i="3"/>
  <c r="BP80" i="3"/>
  <c r="G105" i="3"/>
  <c r="G98" i="3"/>
  <c r="BR96" i="3"/>
  <c r="BR98" i="3" s="1"/>
  <c r="BR105" i="3" s="1"/>
  <c r="BT80" i="3"/>
  <c r="BV80" i="3"/>
  <c r="BT17" i="3"/>
  <c r="BL93" i="3"/>
  <c r="BN28" i="3"/>
  <c r="BN34" i="3"/>
  <c r="E98" i="3"/>
  <c r="BN97" i="3"/>
  <c r="BN98" i="3" s="1"/>
  <c r="E105" i="3"/>
  <c r="BP14" i="3"/>
  <c r="BR26" i="3"/>
  <c r="BL39" i="3"/>
  <c r="D100" i="3"/>
  <c r="D8" i="3"/>
  <c r="BN88" i="3"/>
  <c r="BR20" i="3"/>
  <c r="BX74" i="3"/>
  <c r="BX66" i="3"/>
  <c r="BZ86" i="3"/>
  <c r="BP96" i="3"/>
  <c r="F105" i="3"/>
  <c r="N95" i="3"/>
  <c r="BR22" i="3"/>
  <c r="BZ90" i="3"/>
  <c r="I8" i="3"/>
  <c r="BT39" i="3"/>
  <c r="CB89" i="3"/>
  <c r="BR10" i="3"/>
  <c r="BV67" i="3"/>
  <c r="BX7" i="3"/>
  <c r="L105" i="3"/>
  <c r="J100" i="3"/>
  <c r="BR48" i="3"/>
  <c r="BT93" i="3"/>
  <c r="H104" i="3"/>
  <c r="P91" i="3"/>
  <c r="BL35" i="3"/>
  <c r="BP41" i="3"/>
  <c r="BL62" i="3"/>
  <c r="BL49" i="3"/>
  <c r="BL30" i="3"/>
  <c r="BN13" i="3"/>
  <c r="BV38" i="3"/>
  <c r="BX50" i="3"/>
  <c r="K91" i="3"/>
  <c r="I82" i="3"/>
  <c r="BR81" i="3"/>
  <c r="BZ4" i="3"/>
  <c r="BR92" i="3"/>
  <c r="F96" i="14" l="1"/>
  <c r="F73" i="14"/>
  <c r="F74" i="14"/>
  <c r="F76" i="14"/>
  <c r="F77" i="14"/>
  <c r="E77" i="14"/>
  <c r="E96" i="14"/>
  <c r="E76" i="14"/>
  <c r="E73" i="14"/>
  <c r="E74" i="14"/>
  <c r="D96" i="14"/>
  <c r="D77" i="14"/>
  <c r="D76" i="14"/>
  <c r="D74" i="14"/>
  <c r="D73" i="14"/>
  <c r="C96" i="14"/>
  <c r="C74" i="14"/>
  <c r="C73" i="14"/>
  <c r="C77" i="14"/>
  <c r="C76" i="14"/>
  <c r="F5" i="14"/>
  <c r="E40" i="14"/>
  <c r="D40" i="14"/>
  <c r="D49" i="14"/>
  <c r="F43" i="14"/>
  <c r="C80" i="14"/>
  <c r="C90" i="14"/>
  <c r="C31" i="14"/>
  <c r="C44" i="14"/>
  <c r="C50" i="14"/>
  <c r="C9" i="14"/>
  <c r="C22" i="14"/>
  <c r="C42" i="14"/>
  <c r="D58" i="14"/>
  <c r="F44" i="14"/>
  <c r="F42" i="14"/>
  <c r="E27" i="14"/>
  <c r="D10" i="14"/>
  <c r="D90" i="14"/>
  <c r="F92" i="14"/>
  <c r="D53" i="14"/>
  <c r="F81" i="14"/>
  <c r="D84" i="14"/>
  <c r="C92" i="14"/>
  <c r="C67" i="14"/>
  <c r="C64" i="14"/>
  <c r="C48" i="14"/>
  <c r="R1" i="14"/>
  <c r="C33" i="14"/>
  <c r="F30" i="14"/>
  <c r="D88" i="14"/>
  <c r="C93" i="14"/>
  <c r="C85" i="14"/>
  <c r="C81" i="14"/>
  <c r="C39" i="14"/>
  <c r="C53" i="14"/>
  <c r="C59" i="14"/>
  <c r="C25" i="14"/>
  <c r="F71" i="14"/>
  <c r="D71" i="14"/>
  <c r="C38" i="14"/>
  <c r="C21" i="14"/>
  <c r="C18" i="14"/>
  <c r="C71" i="14"/>
  <c r="C30" i="14"/>
  <c r="C43" i="14"/>
  <c r="C47" i="14"/>
  <c r="C27" i="14"/>
  <c r="C54" i="14"/>
  <c r="C86" i="14"/>
  <c r="C84" i="14"/>
  <c r="C45" i="14"/>
  <c r="C60" i="14"/>
  <c r="C52" i="14"/>
  <c r="C94" i="14"/>
  <c r="C88" i="14"/>
  <c r="C49" i="14"/>
  <c r="C83" i="14"/>
  <c r="C28" i="14"/>
  <c r="C10" i="14"/>
  <c r="C13" i="14"/>
  <c r="C55" i="14"/>
  <c r="C12" i="14"/>
  <c r="C63" i="14"/>
  <c r="C5" i="14"/>
  <c r="C19" i="14"/>
  <c r="N16" i="14"/>
  <c r="C34" i="14"/>
  <c r="C24" i="14"/>
  <c r="C40" i="14"/>
  <c r="C66" i="14"/>
  <c r="E43" i="14"/>
  <c r="C70" i="14"/>
  <c r="C58" i="14"/>
  <c r="C79" i="14"/>
  <c r="C15" i="14"/>
  <c r="C16" i="14"/>
  <c r="C62" i="14"/>
  <c r="C57" i="14"/>
  <c r="C89" i="14"/>
  <c r="D24" i="14"/>
  <c r="F9" i="14"/>
  <c r="F40" i="14"/>
  <c r="D25" i="14"/>
  <c r="D19" i="14"/>
  <c r="D94" i="14"/>
  <c r="D44" i="14"/>
  <c r="F90" i="14"/>
  <c r="F28" i="14"/>
  <c r="D13" i="14"/>
  <c r="D5" i="14"/>
  <c r="D59" i="14"/>
  <c r="D12" i="14"/>
  <c r="F80" i="14"/>
  <c r="F16" i="14"/>
  <c r="D93" i="14"/>
  <c r="D89" i="14"/>
  <c r="D33" i="14"/>
  <c r="D37" i="14"/>
  <c r="C69" i="14"/>
  <c r="F89" i="14"/>
  <c r="E12" i="14"/>
  <c r="D55" i="14"/>
  <c r="D52" i="14"/>
  <c r="D27" i="14"/>
  <c r="D9" i="14"/>
  <c r="C37" i="14"/>
  <c r="F58" i="14"/>
  <c r="F52" i="14"/>
  <c r="D22" i="14"/>
  <c r="D18" i="14"/>
  <c r="F83" i="14"/>
  <c r="F22" i="14"/>
  <c r="E33" i="14"/>
  <c r="F34" i="14"/>
  <c r="D64" i="14"/>
  <c r="F64" i="14"/>
  <c r="F63" i="14"/>
  <c r="F18" i="14"/>
  <c r="E85" i="14"/>
  <c r="D85" i="14"/>
  <c r="D83" i="14"/>
  <c r="D80" i="14"/>
  <c r="D79" i="14"/>
  <c r="D60" i="14"/>
  <c r="D92" i="14"/>
  <c r="D21" i="14"/>
  <c r="D67" i="14"/>
  <c r="F93" i="14"/>
  <c r="F54" i="14"/>
  <c r="F53" i="14"/>
  <c r="F88" i="14"/>
  <c r="E18" i="14"/>
  <c r="D69" i="14"/>
  <c r="D66" i="14"/>
  <c r="D63" i="14"/>
  <c r="D62" i="14"/>
  <c r="D50" i="14"/>
  <c r="D57" i="14"/>
  <c r="D81" i="14"/>
  <c r="D39" i="14"/>
  <c r="F38" i="14"/>
  <c r="F84" i="14"/>
  <c r="F85" i="14"/>
  <c r="F33" i="14"/>
  <c r="F79" i="14"/>
  <c r="F60" i="14"/>
  <c r="E10" i="14"/>
  <c r="D48" i="14"/>
  <c r="D45" i="14"/>
  <c r="D43" i="14"/>
  <c r="D42" i="14"/>
  <c r="D28" i="14"/>
  <c r="D86" i="14"/>
  <c r="D15" i="14"/>
  <c r="F47" i="14"/>
  <c r="F15" i="14"/>
  <c r="F69" i="14"/>
  <c r="F21" i="14"/>
  <c r="F62" i="14"/>
  <c r="F50" i="14"/>
  <c r="D38" i="14"/>
  <c r="D34" i="14"/>
  <c r="D31" i="14"/>
  <c r="D30" i="14"/>
  <c r="D16" i="14"/>
  <c r="D54" i="14"/>
  <c r="D70" i="14"/>
  <c r="F25" i="14"/>
  <c r="F13" i="14"/>
  <c r="DX63" i="3"/>
  <c r="EA72" i="3"/>
  <c r="DX42" i="3"/>
  <c r="DX59" i="3"/>
  <c r="BX8" i="3"/>
  <c r="CP95" i="3"/>
  <c r="CI8" i="3"/>
  <c r="EC8" i="3"/>
  <c r="AI100" i="3"/>
  <c r="AY8" i="3"/>
  <c r="AZ8" i="3"/>
  <c r="BA100" i="3"/>
  <c r="BB100" i="3"/>
  <c r="BF8" i="3"/>
  <c r="AH100" i="3"/>
  <c r="AP100" i="3"/>
  <c r="DS90" i="3"/>
  <c r="DG32" i="3"/>
  <c r="DQ78" i="3"/>
  <c r="DN59" i="3"/>
  <c r="DM47" i="3"/>
  <c r="DG40" i="3"/>
  <c r="DJ11" i="3"/>
  <c r="DS62" i="3"/>
  <c r="DG24" i="3"/>
  <c r="DQ96" i="3"/>
  <c r="BF100" i="3"/>
  <c r="DI16" i="3"/>
  <c r="DJ31" i="3"/>
  <c r="ED101" i="3"/>
  <c r="AR101" i="3"/>
  <c r="AW82" i="3"/>
  <c r="AX82" i="3"/>
  <c r="AZ82" i="3"/>
  <c r="BA82" i="3"/>
  <c r="BB101" i="3"/>
  <c r="BF82" i="3"/>
  <c r="CY88" i="3"/>
  <c r="CM78" i="3"/>
  <c r="DG35" i="3"/>
  <c r="CM23" i="3"/>
  <c r="CE11" i="3"/>
  <c r="DX23" i="3"/>
  <c r="EA98" i="3"/>
  <c r="EA105" i="3" s="1"/>
  <c r="DF53" i="3"/>
  <c r="CP13" i="3"/>
  <c r="DX8" i="3"/>
  <c r="DX100" i="3" s="1"/>
  <c r="BN95" i="3"/>
  <c r="BN104" i="3" s="1"/>
  <c r="CB76" i="3"/>
  <c r="CH68" i="3"/>
  <c r="DD81" i="3"/>
  <c r="DD50" i="3"/>
  <c r="CB29" i="3"/>
  <c r="X105" i="3"/>
  <c r="CH76" i="3"/>
  <c r="DX88" i="3"/>
  <c r="DX91" i="3" s="1"/>
  <c r="DX103" i="3" s="1"/>
  <c r="DU88" i="3"/>
  <c r="DI85" i="3"/>
  <c r="EC100" i="3"/>
  <c r="CQ60" i="3"/>
  <c r="AV105" i="3"/>
  <c r="DM96" i="3"/>
  <c r="DM98" i="3" s="1"/>
  <c r="EA56" i="3"/>
  <c r="DG23" i="3"/>
  <c r="BF91" i="3"/>
  <c r="DJ88" i="3"/>
  <c r="DJ92" i="3"/>
  <c r="CH21" i="3"/>
  <c r="CM92" i="3"/>
  <c r="CM95" i="3" s="1"/>
  <c r="AS95" i="3"/>
  <c r="DN57" i="3"/>
  <c r="AK104" i="3"/>
  <c r="DM39" i="3"/>
  <c r="DP37" i="3"/>
  <c r="DM78" i="3"/>
  <c r="AV103" i="3"/>
  <c r="DS39" i="3"/>
  <c r="DS60" i="3"/>
  <c r="BX76" i="3"/>
  <c r="DG71" i="3"/>
  <c r="DJ70" i="3"/>
  <c r="DQ70" i="3"/>
  <c r="DM62" i="3"/>
  <c r="EA37" i="3"/>
  <c r="CL13" i="3"/>
  <c r="CL53" i="3"/>
  <c r="DN92" i="3"/>
  <c r="DN95" i="3" s="1"/>
  <c r="DM13" i="3"/>
  <c r="DC37" i="3"/>
  <c r="DF73" i="3"/>
  <c r="DS37" i="3"/>
  <c r="DD42" i="3"/>
  <c r="DQ11" i="3"/>
  <c r="DD61" i="3"/>
  <c r="EB105" i="3"/>
  <c r="AW105" i="3"/>
  <c r="CY46" i="3"/>
  <c r="DD10" i="3"/>
  <c r="BL60" i="3"/>
  <c r="BL13" i="3"/>
  <c r="BN68" i="3"/>
  <c r="BP29" i="3"/>
  <c r="BV13" i="3"/>
  <c r="CD21" i="3"/>
  <c r="BT37" i="3"/>
  <c r="CL8" i="3"/>
  <c r="BB91" i="3"/>
  <c r="CP89" i="3"/>
  <c r="DX50" i="3"/>
  <c r="CU62" i="3"/>
  <c r="CD60" i="3"/>
  <c r="CL29" i="3"/>
  <c r="CE78" i="3"/>
  <c r="CY89" i="3"/>
  <c r="BV88" i="3"/>
  <c r="BV91" i="3" s="1"/>
  <c r="DC88" i="3"/>
  <c r="DF29" i="3"/>
  <c r="DS96" i="3"/>
  <c r="DS98" i="3" s="1"/>
  <c r="BI82" i="3"/>
  <c r="DQ23" i="3"/>
  <c r="AZ100" i="3"/>
  <c r="DX16" i="3"/>
  <c r="DQ88" i="3"/>
  <c r="DQ91" i="3" s="1"/>
  <c r="DS31" i="3"/>
  <c r="CQ88" i="3"/>
  <c r="CM57" i="3"/>
  <c r="CY57" i="3"/>
  <c r="AK95" i="3"/>
  <c r="Y105" i="3"/>
  <c r="CE35" i="3"/>
  <c r="DF76" i="3"/>
  <c r="BR68" i="3"/>
  <c r="CH53" i="3"/>
  <c r="CB53" i="3"/>
  <c r="BI103" i="3"/>
  <c r="DC45" i="3"/>
  <c r="CY35" i="3"/>
  <c r="DI37" i="3"/>
  <c r="DA13" i="3"/>
  <c r="DC21" i="3"/>
  <c r="CQ13" i="3"/>
  <c r="EA21" i="3"/>
  <c r="DP7" i="3"/>
  <c r="DP8" i="3" s="1"/>
  <c r="DF58" i="3"/>
  <c r="DI53" i="3"/>
  <c r="BL45" i="3"/>
  <c r="BL21" i="3"/>
  <c r="BN29" i="3"/>
  <c r="BP53" i="3"/>
  <c r="BR29" i="3"/>
  <c r="BT45" i="3"/>
  <c r="BV37" i="3"/>
  <c r="BX29" i="3"/>
  <c r="BZ76" i="3"/>
  <c r="EB101" i="3"/>
  <c r="BH82" i="3"/>
  <c r="DD26" i="3"/>
  <c r="AY100" i="3"/>
  <c r="DN23" i="3"/>
  <c r="AZ103" i="3"/>
  <c r="DX38" i="3"/>
  <c r="DF88" i="3"/>
  <c r="DF91" i="3" s="1"/>
  <c r="CD88" i="3"/>
  <c r="X101" i="3"/>
  <c r="CM54" i="3"/>
  <c r="DG78" i="3"/>
  <c r="DU37" i="3"/>
  <c r="DA30" i="3"/>
  <c r="DP52" i="3"/>
  <c r="BI101" i="3"/>
  <c r="DM23" i="3"/>
  <c r="BF101" i="3"/>
  <c r="BF106" i="3" s="1"/>
  <c r="BF112" i="3" s="1"/>
  <c r="DA29" i="3"/>
  <c r="CQ78" i="3"/>
  <c r="CI88" i="3"/>
  <c r="DA54" i="3"/>
  <c r="CI96" i="3"/>
  <c r="AW91" i="3"/>
  <c r="DU29" i="3"/>
  <c r="DF45" i="3"/>
  <c r="DS68" i="3"/>
  <c r="DC68" i="3"/>
  <c r="BH103" i="3"/>
  <c r="CE23" i="3"/>
  <c r="DM55" i="3"/>
  <c r="DA38" i="3"/>
  <c r="CP21" i="3"/>
  <c r="DF34" i="3"/>
  <c r="DG11" i="3"/>
  <c r="DF18" i="3"/>
  <c r="CY69" i="3"/>
  <c r="DN28" i="3"/>
  <c r="DS55" i="3"/>
  <c r="DX61" i="3"/>
  <c r="DM76" i="3"/>
  <c r="CL60" i="3"/>
  <c r="BN45" i="3"/>
  <c r="BP37" i="3"/>
  <c r="BR37" i="3"/>
  <c r="BR13" i="3"/>
  <c r="BT68" i="3"/>
  <c r="BT13" i="3"/>
  <c r="BV53" i="3"/>
  <c r="BV21" i="3"/>
  <c r="CB13" i="3"/>
  <c r="CD45" i="3"/>
  <c r="CQ61" i="3"/>
  <c r="CI61" i="3"/>
  <c r="BX68" i="3"/>
  <c r="DI63" i="3"/>
  <c r="AV91" i="3"/>
  <c r="CM88" i="3"/>
  <c r="DG93" i="3"/>
  <c r="DU13" i="3"/>
  <c r="BX37" i="3"/>
  <c r="CP76" i="3"/>
  <c r="DI13" i="3"/>
  <c r="EA76" i="3"/>
  <c r="CX46" i="3"/>
  <c r="DJ96" i="3"/>
  <c r="DJ98" i="3" s="1"/>
  <c r="BI95" i="3"/>
  <c r="BI104" i="3"/>
  <c r="DF68" i="3"/>
  <c r="X98" i="3"/>
  <c r="CL39" i="3"/>
  <c r="DU60" i="3"/>
  <c r="CL68" i="3"/>
  <c r="DU68" i="3"/>
  <c r="EA68" i="3"/>
  <c r="DJ15" i="3"/>
  <c r="DS76" i="3"/>
  <c r="DM68" i="3"/>
  <c r="DF92" i="3"/>
  <c r="DF95" i="3" s="1"/>
  <c r="DM21" i="3"/>
  <c r="EB100" i="3"/>
  <c r="DQ47" i="3"/>
  <c r="CL45" i="3"/>
  <c r="DG48" i="3"/>
  <c r="DG92" i="3"/>
  <c r="EA71" i="3"/>
  <c r="DI21" i="3"/>
  <c r="DP67" i="3"/>
  <c r="CB37" i="3"/>
  <c r="CB21" i="3"/>
  <c r="EA29" i="3"/>
  <c r="DC29" i="3"/>
  <c r="DS53" i="3"/>
  <c r="AT84" i="3"/>
  <c r="AT102" i="3" s="1"/>
  <c r="CL76" i="3"/>
  <c r="BN76" i="3"/>
  <c r="BP60" i="3"/>
  <c r="BV76" i="3"/>
  <c r="BX53" i="3"/>
  <c r="BX60" i="3"/>
  <c r="BR76" i="3"/>
  <c r="BH101" i="3"/>
  <c r="DA76" i="3"/>
  <c r="CY97" i="3"/>
  <c r="CP54" i="3"/>
  <c r="DD78" i="3"/>
  <c r="CL15" i="3"/>
  <c r="DS88" i="3"/>
  <c r="AV101" i="3"/>
  <c r="AX91" i="3"/>
  <c r="CP53" i="3"/>
  <c r="EA53" i="3"/>
  <c r="CT37" i="3"/>
  <c r="DP12" i="3"/>
  <c r="BA101" i="3"/>
  <c r="DP44" i="3"/>
  <c r="CM97" i="3"/>
  <c r="DN78" i="3"/>
  <c r="CP46" i="3"/>
  <c r="DP68" i="3"/>
  <c r="DF60" i="3"/>
  <c r="DI76" i="3"/>
  <c r="EA60" i="3"/>
  <c r="DU76" i="3"/>
  <c r="DI68" i="3"/>
  <c r="DU45" i="3"/>
  <c r="EB8" i="3"/>
  <c r="EA13" i="3"/>
  <c r="CI11" i="3"/>
  <c r="DM45" i="3"/>
  <c r="DQ92" i="3"/>
  <c r="DM37" i="3"/>
  <c r="CQ35" i="3"/>
  <c r="DD23" i="3"/>
  <c r="DN36" i="3"/>
  <c r="DM29" i="3"/>
  <c r="EB98" i="3"/>
  <c r="DQ35" i="3"/>
  <c r="BL53" i="3"/>
  <c r="BN53" i="3"/>
  <c r="BR45" i="3"/>
  <c r="BT53" i="3"/>
  <c r="CD29" i="3"/>
  <c r="CD13" i="3"/>
  <c r="BX13" i="3"/>
  <c r="BN21" i="3"/>
  <c r="BL76" i="3"/>
  <c r="BT60" i="3"/>
  <c r="BL29" i="3"/>
  <c r="EB82" i="3"/>
  <c r="DI79" i="3"/>
  <c r="DG56" i="3"/>
  <c r="DQ15" i="3"/>
  <c r="CX19" i="3"/>
  <c r="BR53" i="3"/>
  <c r="DC13" i="3"/>
  <c r="BX88" i="3"/>
  <c r="BX91" i="3" s="1"/>
  <c r="CB88" i="3"/>
  <c r="CB91" i="3" s="1"/>
  <c r="DF37" i="3"/>
  <c r="DJ57" i="3"/>
  <c r="CH29" i="3"/>
  <c r="CY92" i="3"/>
  <c r="DA61" i="3"/>
  <c r="DP53" i="3"/>
  <c r="CD76" i="3"/>
  <c r="DJ61" i="3"/>
  <c r="CB60" i="3"/>
  <c r="CP68" i="3"/>
  <c r="BP13" i="3"/>
  <c r="AY91" i="3"/>
  <c r="EA73" i="3"/>
  <c r="EA45" i="3"/>
  <c r="DS21" i="3"/>
  <c r="DI45" i="3"/>
  <c r="DN75" i="3"/>
  <c r="CI35" i="3"/>
  <c r="EA7" i="3"/>
  <c r="EA8" i="3" s="1"/>
  <c r="EA100" i="3" s="1"/>
  <c r="DI29" i="3"/>
  <c r="DX35" i="3"/>
  <c r="CM61" i="3"/>
  <c r="BP68" i="3"/>
  <c r="BR21" i="3"/>
  <c r="BT21" i="3"/>
  <c r="CD53" i="3"/>
  <c r="BA105" i="3"/>
  <c r="BA91" i="3"/>
  <c r="BX21" i="3"/>
  <c r="DA88" i="3"/>
  <c r="DA91" i="3" s="1"/>
  <c r="EA88" i="3"/>
  <c r="EA91" i="3" s="1"/>
  <c r="EA103" i="3" s="1"/>
  <c r="DC53" i="3"/>
  <c r="DD57" i="3"/>
  <c r="DP21" i="3"/>
  <c r="DU53" i="3"/>
  <c r="CP29" i="3"/>
  <c r="CT76" i="3"/>
  <c r="DP20" i="3"/>
  <c r="BH91" i="3"/>
  <c r="CM11" i="3"/>
  <c r="CL21" i="3"/>
  <c r="CB45" i="3"/>
  <c r="DA21" i="3"/>
  <c r="DF21" i="3"/>
  <c r="CP37" i="3"/>
  <c r="CI62" i="3"/>
  <c r="DN11" i="3"/>
  <c r="DN8" i="3"/>
  <c r="BP76" i="3"/>
  <c r="BP45" i="3"/>
  <c r="BV45" i="3"/>
  <c r="DD35" i="3"/>
  <c r="DG57" i="3"/>
  <c r="DP76" i="3"/>
  <c r="DP60" i="3"/>
  <c r="DP29" i="3"/>
  <c r="ED82" i="3"/>
  <c r="AX100" i="3"/>
  <c r="CI98" i="3"/>
  <c r="AW95" i="3"/>
  <c r="Z91" i="3"/>
  <c r="CX76" i="3"/>
  <c r="CX60" i="3"/>
  <c r="CU37" i="3"/>
  <c r="CX13" i="3"/>
  <c r="CU88" i="3"/>
  <c r="CU75" i="3"/>
  <c r="BD67" i="3"/>
  <c r="DZ67" i="3" s="1"/>
  <c r="CU59" i="3"/>
  <c r="CU52" i="3"/>
  <c r="CU20" i="3"/>
  <c r="CU12" i="3"/>
  <c r="BD86" i="3"/>
  <c r="DH86" i="3" s="1"/>
  <c r="BD58" i="3"/>
  <c r="CW58" i="3" s="1"/>
  <c r="AE104" i="3"/>
  <c r="AH103" i="3"/>
  <c r="AL101" i="3"/>
  <c r="AO91" i="3"/>
  <c r="AP98" i="3"/>
  <c r="AR8" i="3"/>
  <c r="AR103" i="3"/>
  <c r="AS8" i="3"/>
  <c r="AS103" i="3"/>
  <c r="AS106" i="3" s="1"/>
  <c r="AS112" i="3" s="1"/>
  <c r="AU101" i="3"/>
  <c r="AU106" i="3" s="1"/>
  <c r="AU112" i="3" s="1"/>
  <c r="AU104" i="3"/>
  <c r="AV82" i="3"/>
  <c r="BV95" i="3"/>
  <c r="BP91" i="3"/>
  <c r="BP103" i="3" s="1"/>
  <c r="DR86" i="3"/>
  <c r="BY52" i="3"/>
  <c r="BU52" i="3"/>
  <c r="BQ20" i="3"/>
  <c r="DY20" i="3"/>
  <c r="BW20" i="3"/>
  <c r="CF20" i="3"/>
  <c r="CN20" i="3"/>
  <c r="CK66" i="3"/>
  <c r="E84" i="3"/>
  <c r="E102" i="3" s="1"/>
  <c r="E104" i="3"/>
  <c r="E82" i="3"/>
  <c r="DF35" i="3"/>
  <c r="CH41" i="3"/>
  <c r="DI83" i="3"/>
  <c r="DI84" i="3" s="1"/>
  <c r="DI102" i="3" s="1"/>
  <c r="DD11" i="3"/>
  <c r="CQ14" i="3"/>
  <c r="CT14" i="3"/>
  <c r="CT97" i="3"/>
  <c r="CT98" i="3" s="1"/>
  <c r="CQ97" i="3"/>
  <c r="CQ98" i="3" s="1"/>
  <c r="CX7" i="3"/>
  <c r="AB100" i="3"/>
  <c r="AB8" i="3"/>
  <c r="CX87" i="3"/>
  <c r="BD87" i="3"/>
  <c r="CS87" i="3" s="1"/>
  <c r="AD101" i="3"/>
  <c r="AF95" i="3"/>
  <c r="AF104" i="3"/>
  <c r="CY62" i="3"/>
  <c r="DA62" i="3"/>
  <c r="DA23" i="3"/>
  <c r="CY23" i="3"/>
  <c r="DA96" i="3"/>
  <c r="DA98" i="3" s="1"/>
  <c r="CY96" i="3"/>
  <c r="AI82" i="3"/>
  <c r="AI91" i="3"/>
  <c r="AI103" i="3"/>
  <c r="AJ101" i="3"/>
  <c r="DD66" i="3"/>
  <c r="DF66" i="3"/>
  <c r="DF51" i="3"/>
  <c r="DD51" i="3"/>
  <c r="DF43" i="3"/>
  <c r="DD43" i="3"/>
  <c r="DF19" i="3"/>
  <c r="DD19" i="3"/>
  <c r="AL104" i="3"/>
  <c r="AL95" i="3"/>
  <c r="DG64" i="3"/>
  <c r="DI64" i="3"/>
  <c r="DG49" i="3"/>
  <c r="DI49" i="3"/>
  <c r="DG41" i="3"/>
  <c r="DI41" i="3"/>
  <c r="DG33" i="3"/>
  <c r="DI33" i="3"/>
  <c r="DG25" i="3"/>
  <c r="DI25" i="3"/>
  <c r="DG17" i="3"/>
  <c r="DI17" i="3"/>
  <c r="DG94" i="3"/>
  <c r="AM104" i="3"/>
  <c r="DM63" i="3"/>
  <c r="DJ63" i="3"/>
  <c r="DM16" i="3"/>
  <c r="AN82" i="3"/>
  <c r="DM93" i="3"/>
  <c r="DM95" i="3" s="1"/>
  <c r="AN95" i="3"/>
  <c r="AO98" i="3"/>
  <c r="AO105" i="3"/>
  <c r="AP82" i="3"/>
  <c r="AP101" i="3"/>
  <c r="AP103" i="3"/>
  <c r="AP91" i="3"/>
  <c r="DN45" i="3"/>
  <c r="DP45" i="3"/>
  <c r="DP13" i="3"/>
  <c r="AQ82" i="3"/>
  <c r="DN13" i="3"/>
  <c r="AQ103" i="3"/>
  <c r="DP88" i="3"/>
  <c r="DN88" i="3"/>
  <c r="P95" i="3"/>
  <c r="CB94" i="3"/>
  <c r="CB95" i="3" s="1"/>
  <c r="R105" i="3"/>
  <c r="R98" i="3"/>
  <c r="S101" i="3"/>
  <c r="EC103" i="3"/>
  <c r="U87" i="3"/>
  <c r="BC87" i="3" s="1"/>
  <c r="BM87" i="3" s="1"/>
  <c r="ED100" i="3"/>
  <c r="ED8" i="3"/>
  <c r="CH64" i="3"/>
  <c r="CE64" i="3"/>
  <c r="CX64" i="3"/>
  <c r="CE57" i="3"/>
  <c r="CH57" i="3"/>
  <c r="CE33" i="3"/>
  <c r="CH33" i="3"/>
  <c r="CH25" i="3"/>
  <c r="CE25" i="3"/>
  <c r="CE17" i="3"/>
  <c r="CH17" i="3"/>
  <c r="V84" i="3"/>
  <c r="V102" i="3" s="1"/>
  <c r="CE83" i="3"/>
  <c r="CE84" i="3" s="1"/>
  <c r="CE102" i="3" s="1"/>
  <c r="CH83" i="3"/>
  <c r="CH84" i="3" s="1"/>
  <c r="CH102" i="3" s="1"/>
  <c r="CH94" i="3"/>
  <c r="V95" i="3"/>
  <c r="CI78" i="3"/>
  <c r="CL78" i="3"/>
  <c r="CL70" i="3"/>
  <c r="CI70" i="3"/>
  <c r="CI55" i="3"/>
  <c r="CL55" i="3"/>
  <c r="CL47" i="3"/>
  <c r="CI47" i="3"/>
  <c r="CX31" i="3"/>
  <c r="CL31" i="3"/>
  <c r="CI31" i="3"/>
  <c r="CU23" i="3"/>
  <c r="CL23" i="3"/>
  <c r="CI90" i="3"/>
  <c r="CI91" i="3" s="1"/>
  <c r="CL90" i="3"/>
  <c r="CL91" i="3" s="1"/>
  <c r="CL103" i="3" s="1"/>
  <c r="CM77" i="3"/>
  <c r="CP77" i="3"/>
  <c r="CM69" i="3"/>
  <c r="BD69" i="3"/>
  <c r="CS69" i="3" s="1"/>
  <c r="BD54" i="3"/>
  <c r="DZ54" i="3" s="1"/>
  <c r="CM38" i="3"/>
  <c r="CP38" i="3"/>
  <c r="CP30" i="3"/>
  <c r="CM30" i="3"/>
  <c r="CM22" i="3"/>
  <c r="CX22" i="3"/>
  <c r="CU22" i="3"/>
  <c r="CX14" i="3"/>
  <c r="CU68" i="3"/>
  <c r="CT68" i="3"/>
  <c r="CX68" i="3"/>
  <c r="CQ68" i="3"/>
  <c r="CX45" i="3"/>
  <c r="CT45" i="3"/>
  <c r="BD37" i="3"/>
  <c r="DH37" i="3" s="1"/>
  <c r="CX37" i="3"/>
  <c r="CT29" i="3"/>
  <c r="CQ29" i="3"/>
  <c r="CU29" i="3"/>
  <c r="CX29" i="3"/>
  <c r="BD29" i="3"/>
  <c r="CO29" i="3" s="1"/>
  <c r="CT22" i="3"/>
  <c r="BN37" i="3"/>
  <c r="BC37" i="3"/>
  <c r="CV37" i="3" s="1"/>
  <c r="CV20" i="3"/>
  <c r="G103" i="3"/>
  <c r="BD28" i="3"/>
  <c r="CW28" i="3" s="1"/>
  <c r="CH72" i="3"/>
  <c r="DS95" i="3"/>
  <c r="CT89" i="3"/>
  <c r="CT91" i="3" s="1"/>
  <c r="F82" i="3"/>
  <c r="BP16" i="3"/>
  <c r="DK90" i="3"/>
  <c r="J91" i="3"/>
  <c r="G91" i="3"/>
  <c r="EF95" i="3"/>
  <c r="AM95" i="3"/>
  <c r="CE80" i="3"/>
  <c r="CY15" i="3"/>
  <c r="CX20" i="3"/>
  <c r="P104" i="3"/>
  <c r="BR93" i="3"/>
  <c r="BR95" i="3" s="1"/>
  <c r="BR104" i="3" s="1"/>
  <c r="DN100" i="3"/>
  <c r="BC62" i="3"/>
  <c r="DY62" i="3" s="1"/>
  <c r="BC96" i="3"/>
  <c r="CJ96" i="3" s="1"/>
  <c r="CC23" i="3"/>
  <c r="BT96" i="3"/>
  <c r="BT98" i="3" s="1"/>
  <c r="H101" i="3"/>
  <c r="CQ89" i="3"/>
  <c r="DA31" i="3"/>
  <c r="DQ79" i="3"/>
  <c r="AU95" i="3"/>
  <c r="CP60" i="3"/>
  <c r="CP88" i="3"/>
  <c r="AU91" i="3"/>
  <c r="EA95" i="3"/>
  <c r="EA104" i="3" s="1"/>
  <c r="DX95" i="3"/>
  <c r="DX104" i="3" s="1"/>
  <c r="DA68" i="3"/>
  <c r="DA37" i="3"/>
  <c r="AM98" i="3"/>
  <c r="DN35" i="3"/>
  <c r="AT91" i="3"/>
  <c r="AT104" i="3"/>
  <c r="CU38" i="3"/>
  <c r="DG61" i="3"/>
  <c r="DS13" i="3"/>
  <c r="DG8" i="3"/>
  <c r="DS63" i="3"/>
  <c r="AT101" i="3"/>
  <c r="U85" i="3"/>
  <c r="BC85" i="3" s="1"/>
  <c r="CF85" i="3" s="1"/>
  <c r="EC95" i="3"/>
  <c r="CQ92" i="3"/>
  <c r="CY11" i="3"/>
  <c r="AP95" i="3"/>
  <c r="DX96" i="3"/>
  <c r="DX98" i="3" s="1"/>
  <c r="DX105" i="3" s="1"/>
  <c r="CY100" i="3"/>
  <c r="DJ100" i="3"/>
  <c r="BR91" i="3"/>
  <c r="BR103" i="3" s="1"/>
  <c r="T104" i="3"/>
  <c r="EF103" i="3"/>
  <c r="AS91" i="3"/>
  <c r="CT8" i="3"/>
  <c r="BX95" i="3"/>
  <c r="DN98" i="3"/>
  <c r="BL8" i="3"/>
  <c r="BZ79" i="3"/>
  <c r="BZ71" i="3"/>
  <c r="BZ63" i="3"/>
  <c r="BZ56" i="3"/>
  <c r="BZ48" i="3"/>
  <c r="BZ40" i="3"/>
  <c r="BZ32" i="3"/>
  <c r="BZ24" i="3"/>
  <c r="BZ16" i="3"/>
  <c r="BZ85" i="3"/>
  <c r="BZ93" i="3"/>
  <c r="BZ62" i="3"/>
  <c r="BZ55" i="3"/>
  <c r="BZ47" i="3"/>
  <c r="BZ39" i="3"/>
  <c r="BZ96" i="3"/>
  <c r="T98" i="3"/>
  <c r="EF100" i="3"/>
  <c r="DN61" i="3"/>
  <c r="AR91" i="3"/>
  <c r="T105" i="3"/>
  <c r="BD72" i="3"/>
  <c r="CS72" i="3" s="1"/>
  <c r="CX17" i="3"/>
  <c r="BD81" i="3"/>
  <c r="CW81" i="3" s="1"/>
  <c r="CU73" i="3"/>
  <c r="CU65" i="3"/>
  <c r="CU26" i="3"/>
  <c r="AB104" i="3"/>
  <c r="AC8" i="3"/>
  <c r="AC103" i="3"/>
  <c r="BD44" i="3"/>
  <c r="BD20" i="3"/>
  <c r="DL20" i="3" s="1"/>
  <c r="BD7" i="3"/>
  <c r="CG7" i="3" s="1"/>
  <c r="BD68" i="3"/>
  <c r="CO68" i="3" s="1"/>
  <c r="BD60" i="3"/>
  <c r="DE60" i="3" s="1"/>
  <c r="BD45" i="3"/>
  <c r="DR45" i="3" s="1"/>
  <c r="AF105" i="3"/>
  <c r="P100" i="3"/>
  <c r="CL98" i="3"/>
  <c r="DF98" i="3"/>
  <c r="EE104" i="3"/>
  <c r="BZ72" i="3"/>
  <c r="BZ41" i="3"/>
  <c r="BZ33" i="3"/>
  <c r="BZ94" i="3"/>
  <c r="DP95" i="3"/>
  <c r="DP104" i="3" s="1"/>
  <c r="D82" i="3"/>
  <c r="U80" i="3"/>
  <c r="BC80" i="3" s="1"/>
  <c r="BK80" i="3" s="1"/>
  <c r="U72" i="3"/>
  <c r="U64" i="3"/>
  <c r="U57" i="3"/>
  <c r="BC57" i="3" s="1"/>
  <c r="U49" i="3"/>
  <c r="BC49" i="3" s="1"/>
  <c r="CV49" i="3" s="1"/>
  <c r="U41" i="3"/>
  <c r="U33" i="3"/>
  <c r="BC33" i="3" s="1"/>
  <c r="BK33" i="3" s="1"/>
  <c r="U25" i="3"/>
  <c r="BC25" i="3" s="1"/>
  <c r="CC25" i="3" s="1"/>
  <c r="U94" i="3"/>
  <c r="BC94" i="3" s="1"/>
  <c r="U73" i="3"/>
  <c r="U58" i="3"/>
  <c r="BC58" i="3" s="1"/>
  <c r="BS58" i="3" s="1"/>
  <c r="U50" i="3"/>
  <c r="BC50" i="3" s="1"/>
  <c r="U34" i="3"/>
  <c r="BC34" i="3" s="1"/>
  <c r="BS34" i="3" s="1"/>
  <c r="U18" i="3"/>
  <c r="BC18" i="3" s="1"/>
  <c r="CA18" i="3" s="1"/>
  <c r="U10" i="3"/>
  <c r="BC10" i="3" s="1"/>
  <c r="U92" i="3"/>
  <c r="BC92" i="3" s="1"/>
  <c r="BQ92" i="3" s="1"/>
  <c r="U74" i="3"/>
  <c r="BC74" i="3" s="1"/>
  <c r="BK74" i="3" s="1"/>
  <c r="U27" i="3"/>
  <c r="U19" i="3"/>
  <c r="BC19" i="3" s="1"/>
  <c r="U11" i="3"/>
  <c r="BC11" i="3" s="1"/>
  <c r="CF11" i="3" s="1"/>
  <c r="U76" i="3"/>
  <c r="BC76" i="3" s="1"/>
  <c r="BQ76" i="3" s="1"/>
  <c r="U68" i="3"/>
  <c r="U53" i="3"/>
  <c r="BC53" i="3" s="1"/>
  <c r="U29" i="3"/>
  <c r="BC29" i="3" s="1"/>
  <c r="CV29" i="3" s="1"/>
  <c r="U21" i="3"/>
  <c r="V91" i="3"/>
  <c r="CE48" i="3"/>
  <c r="P8" i="3"/>
  <c r="DM8" i="3"/>
  <c r="I100" i="3"/>
  <c r="K8" i="3"/>
  <c r="BZ68" i="3"/>
  <c r="BZ60" i="3"/>
  <c r="BZ53" i="3"/>
  <c r="BZ45" i="3"/>
  <c r="BZ37" i="3"/>
  <c r="BZ29" i="3"/>
  <c r="BZ88" i="3"/>
  <c r="BZ77" i="3"/>
  <c r="BZ46" i="3"/>
  <c r="BZ38" i="3"/>
  <c r="BZ30" i="3"/>
  <c r="L91" i="3"/>
  <c r="N103" i="3"/>
  <c r="T8" i="3"/>
  <c r="AI8" i="3"/>
  <c r="BV8" i="3"/>
  <c r="CD98" i="3"/>
  <c r="CU87" i="3"/>
  <c r="AE95" i="3"/>
  <c r="CE98" i="3"/>
  <c r="I98" i="3"/>
  <c r="AR82" i="3"/>
  <c r="AS101" i="3"/>
  <c r="AT82" i="3"/>
  <c r="AU82" i="3"/>
  <c r="AW101" i="3"/>
  <c r="AX101" i="3"/>
  <c r="AY101" i="3"/>
  <c r="AZ101" i="3"/>
  <c r="AZ106" i="3" s="1"/>
  <c r="AZ112" i="3" s="1"/>
  <c r="BB95" i="3"/>
  <c r="CC90" i="3"/>
  <c r="BK90" i="3"/>
  <c r="BO90" i="3"/>
  <c r="BW90" i="3"/>
  <c r="BU90" i="3"/>
  <c r="BU20" i="3"/>
  <c r="BY90" i="3"/>
  <c r="BT100" i="3"/>
  <c r="CR90" i="3"/>
  <c r="BS20" i="3"/>
  <c r="BR8" i="3"/>
  <c r="BR100" i="3" s="1"/>
  <c r="O98" i="3"/>
  <c r="V104" i="3"/>
  <c r="AM91" i="3"/>
  <c r="AO82" i="3"/>
  <c r="AO104" i="3"/>
  <c r="AQ8" i="3"/>
  <c r="DY9" i="3"/>
  <c r="CF52" i="3"/>
  <c r="CN18" i="3"/>
  <c r="BS62" i="3"/>
  <c r="CG66" i="3"/>
  <c r="CZ66" i="3"/>
  <c r="DE66" i="3"/>
  <c r="DH66" i="3"/>
  <c r="DR66" i="3"/>
  <c r="DL66" i="3"/>
  <c r="DT66" i="3"/>
  <c r="BX11" i="3"/>
  <c r="J101" i="3"/>
  <c r="BZ13" i="3"/>
  <c r="K82" i="3"/>
  <c r="L98" i="3"/>
  <c r="BZ97" i="3"/>
  <c r="M101" i="3"/>
  <c r="M98" i="3"/>
  <c r="M105" i="3"/>
  <c r="O82" i="3"/>
  <c r="BK52" i="3"/>
  <c r="BM90" i="3"/>
  <c r="BM20" i="3"/>
  <c r="F101" i="3"/>
  <c r="BL46" i="3"/>
  <c r="EC104" i="3"/>
  <c r="CU17" i="3"/>
  <c r="BD17" i="3"/>
  <c r="DR17" i="3" s="1"/>
  <c r="AI101" i="3"/>
  <c r="R82" i="3"/>
  <c r="DD98" i="3"/>
  <c r="DA32" i="3"/>
  <c r="CY32" i="3"/>
  <c r="CY24" i="3"/>
  <c r="DA24" i="3"/>
  <c r="AG82" i="3"/>
  <c r="DA16" i="3"/>
  <c r="CY16" i="3"/>
  <c r="AG91" i="3"/>
  <c r="CY85" i="3"/>
  <c r="DA93" i="3"/>
  <c r="DA95" i="3" s="1"/>
  <c r="AG95" i="3"/>
  <c r="AG104" i="3"/>
  <c r="CY93" i="3"/>
  <c r="AH95" i="3"/>
  <c r="AH104" i="3"/>
  <c r="AI104" i="3"/>
  <c r="AI95" i="3"/>
  <c r="AJ100" i="3"/>
  <c r="AJ8" i="3"/>
  <c r="DC43" i="3"/>
  <c r="DC27" i="3"/>
  <c r="AJ82" i="3"/>
  <c r="AJ103" i="3"/>
  <c r="AJ91" i="3"/>
  <c r="DC86" i="3"/>
  <c r="DC91" i="3" s="1"/>
  <c r="AK8" i="3"/>
  <c r="DF8" i="3"/>
  <c r="DD4" i="3"/>
  <c r="DD8" i="3" s="1"/>
  <c r="AK100" i="3"/>
  <c r="DD75" i="3"/>
  <c r="DF75" i="3"/>
  <c r="DF67" i="3"/>
  <c r="DD59" i="3"/>
  <c r="DF59" i="3"/>
  <c r="DD36" i="3"/>
  <c r="DF36" i="3"/>
  <c r="DF20" i="3"/>
  <c r="DD20" i="3"/>
  <c r="AK82" i="3"/>
  <c r="DD12" i="3"/>
  <c r="DF12" i="3"/>
  <c r="AK101" i="3"/>
  <c r="AK91" i="3"/>
  <c r="AK103" i="3"/>
  <c r="AL100" i="3"/>
  <c r="AL8" i="3"/>
  <c r="AL82" i="3"/>
  <c r="AL103" i="3"/>
  <c r="AL91" i="3"/>
  <c r="AM8" i="3"/>
  <c r="AM100" i="3"/>
  <c r="DG77" i="3"/>
  <c r="DI77" i="3"/>
  <c r="DG69" i="3"/>
  <c r="DG54" i="3"/>
  <c r="DI54" i="3"/>
  <c r="DI46" i="3"/>
  <c r="DI30" i="3"/>
  <c r="DG15" i="3"/>
  <c r="AM101" i="3"/>
  <c r="DI15" i="3"/>
  <c r="AM82" i="3"/>
  <c r="CQ16" i="3"/>
  <c r="CT16" i="3"/>
  <c r="Z101" i="3"/>
  <c r="CQ85" i="3"/>
  <c r="Z103" i="3"/>
  <c r="CQ93" i="3"/>
  <c r="CT93" i="3"/>
  <c r="CT95" i="3" s="1"/>
  <c r="CT104" i="3" s="1"/>
  <c r="Z104" i="3"/>
  <c r="Z95" i="3"/>
  <c r="BD83" i="3"/>
  <c r="CW83" i="3" s="1"/>
  <c r="CW84" i="3" s="1"/>
  <c r="CW102" i="3" s="1"/>
  <c r="AA95" i="3"/>
  <c r="CX94" i="3"/>
  <c r="CX50" i="3"/>
  <c r="CU50" i="3"/>
  <c r="BD42" i="3"/>
  <c r="CZ42" i="3" s="1"/>
  <c r="CU42" i="3"/>
  <c r="CU34" i="3"/>
  <c r="CX34" i="3"/>
  <c r="BD34" i="3"/>
  <c r="DO34" i="3" s="1"/>
  <c r="AC101" i="3"/>
  <c r="AC82" i="3"/>
  <c r="AD100" i="3"/>
  <c r="AD8" i="3"/>
  <c r="AD91" i="3"/>
  <c r="AD103" i="3"/>
  <c r="AE82" i="3"/>
  <c r="AE101" i="3"/>
  <c r="BD13" i="3"/>
  <c r="CO13" i="3" s="1"/>
  <c r="AF101" i="3"/>
  <c r="AF82" i="3"/>
  <c r="BD78" i="3"/>
  <c r="DB78" i="3" s="1"/>
  <c r="DA78" i="3"/>
  <c r="CY78" i="3"/>
  <c r="CY70" i="3"/>
  <c r="DA70" i="3"/>
  <c r="CY55" i="3"/>
  <c r="DA55" i="3"/>
  <c r="DA39" i="3"/>
  <c r="CY39" i="3"/>
  <c r="CR18" i="3"/>
  <c r="BQ18" i="3"/>
  <c r="CJ52" i="3"/>
  <c r="F91" i="3"/>
  <c r="F103" i="3"/>
  <c r="I101" i="3"/>
  <c r="G101" i="3"/>
  <c r="DZ66" i="3"/>
  <c r="BD94" i="3"/>
  <c r="D98" i="3"/>
  <c r="BL96" i="3"/>
  <c r="BL98" i="3" s="1"/>
  <c r="D105" i="3"/>
  <c r="BP64" i="3"/>
  <c r="CQ46" i="3"/>
  <c r="CT46" i="3"/>
  <c r="CQ38" i="3"/>
  <c r="CQ30" i="3"/>
  <c r="CT23" i="3"/>
  <c r="CQ23" i="3"/>
  <c r="T101" i="3"/>
  <c r="T91" i="3"/>
  <c r="T103" i="3"/>
  <c r="EC84" i="3"/>
  <c r="EC102" i="3" s="1"/>
  <c r="U83" i="3"/>
  <c r="U84" i="3" s="1"/>
  <c r="U102" i="3" s="1"/>
  <c r="ED104" i="3"/>
  <c r="ED106" i="3" s="1"/>
  <c r="ED112" i="3" s="1"/>
  <c r="ED95" i="3"/>
  <c r="EE100" i="3"/>
  <c r="EE8" i="3"/>
  <c r="EE91" i="3"/>
  <c r="EE103" i="3"/>
  <c r="U86" i="3"/>
  <c r="U4" i="3"/>
  <c r="BC4" i="3" s="1"/>
  <c r="EF8" i="3"/>
  <c r="U13" i="3"/>
  <c r="BC13" i="3" s="1"/>
  <c r="BU13" i="3" s="1"/>
  <c r="EF82" i="3"/>
  <c r="V100" i="3"/>
  <c r="V8" i="3"/>
  <c r="BD77" i="3"/>
  <c r="DH77" i="3" s="1"/>
  <c r="CU77" i="3"/>
  <c r="CE69" i="3"/>
  <c r="CU69" i="3"/>
  <c r="CX69" i="3"/>
  <c r="BD61" i="3"/>
  <c r="DO61" i="3" s="1"/>
  <c r="CE61" i="3"/>
  <c r="CU61" i="3"/>
  <c r="CH61" i="3"/>
  <c r="CX61" i="3"/>
  <c r="CE54" i="3"/>
  <c r="CU54" i="3"/>
  <c r="CE46" i="3"/>
  <c r="BD46" i="3"/>
  <c r="DH46" i="3" s="1"/>
  <c r="CH46" i="3"/>
  <c r="CU46" i="3"/>
  <c r="CE38" i="3"/>
  <c r="CX38" i="3"/>
  <c r="BD38" i="3"/>
  <c r="CG38" i="3" s="1"/>
  <c r="CH38" i="3"/>
  <c r="CH30" i="3"/>
  <c r="CU30" i="3"/>
  <c r="BD30" i="3"/>
  <c r="DH30" i="3" s="1"/>
  <c r="CX30" i="3"/>
  <c r="CE30" i="3"/>
  <c r="CH22" i="3"/>
  <c r="CE22" i="3"/>
  <c r="V82" i="3"/>
  <c r="CE79" i="3"/>
  <c r="CU79" i="3"/>
  <c r="CH71" i="3"/>
  <c r="BD71" i="3"/>
  <c r="CW71" i="3" s="1"/>
  <c r="CU71" i="3"/>
  <c r="CX71" i="3"/>
  <c r="CX63" i="3"/>
  <c r="CH63" i="3"/>
  <c r="CU63" i="3"/>
  <c r="CX56" i="3"/>
  <c r="CE56" i="3"/>
  <c r="CH56" i="3"/>
  <c r="CE40" i="3"/>
  <c r="CH40" i="3"/>
  <c r="CH32" i="3"/>
  <c r="CE32" i="3"/>
  <c r="CU32" i="3"/>
  <c r="CH24" i="3"/>
  <c r="CE24" i="3"/>
  <c r="CU24" i="3"/>
  <c r="CX16" i="3"/>
  <c r="W82" i="3"/>
  <c r="CU16" i="3"/>
  <c r="W101" i="3"/>
  <c r="CH16" i="3"/>
  <c r="W103" i="3"/>
  <c r="CE85" i="3"/>
  <c r="CE91" i="3" s="1"/>
  <c r="CH85" i="3"/>
  <c r="BD85" i="3"/>
  <c r="BD93" i="3"/>
  <c r="CG93" i="3" s="1"/>
  <c r="CH93" i="3"/>
  <c r="CE93" i="3"/>
  <c r="CE95" i="3" s="1"/>
  <c r="CE104" i="3" s="1"/>
  <c r="W95" i="3"/>
  <c r="W104" i="3"/>
  <c r="CL80" i="3"/>
  <c r="CI80" i="3"/>
  <c r="CU80" i="3"/>
  <c r="CX72" i="3"/>
  <c r="CL72" i="3"/>
  <c r="CU72" i="3"/>
  <c r="CL64" i="3"/>
  <c r="CU64" i="3"/>
  <c r="CI64" i="3"/>
  <c r="CI57" i="3"/>
  <c r="CX57" i="3"/>
  <c r="CL57" i="3"/>
  <c r="CU57" i="3"/>
  <c r="CL49" i="3"/>
  <c r="CX49" i="3"/>
  <c r="BD49" i="3"/>
  <c r="CK49" i="3" s="1"/>
  <c r="CU49" i="3"/>
  <c r="CL41" i="3"/>
  <c r="BD41" i="3"/>
  <c r="CK41" i="3" s="1"/>
  <c r="CU41" i="3"/>
  <c r="CI41" i="3"/>
  <c r="CX41" i="3"/>
  <c r="CL33" i="3"/>
  <c r="CI33" i="3"/>
  <c r="CX33" i="3"/>
  <c r="CU33" i="3"/>
  <c r="CI18" i="3"/>
  <c r="CL18" i="3"/>
  <c r="CU18" i="3"/>
  <c r="CX18" i="3"/>
  <c r="X82" i="3"/>
  <c r="CL10" i="3"/>
  <c r="CX10" i="3"/>
  <c r="CU92" i="3"/>
  <c r="X104" i="3"/>
  <c r="CI92" i="3"/>
  <c r="CI95" i="3" s="1"/>
  <c r="Y8" i="3"/>
  <c r="Y100" i="3"/>
  <c r="CP74" i="3"/>
  <c r="CM74" i="3"/>
  <c r="CU74" i="3"/>
  <c r="CU66" i="3"/>
  <c r="CP66" i="3"/>
  <c r="CO66" i="3"/>
  <c r="CX66" i="3"/>
  <c r="CM51" i="3"/>
  <c r="CP51" i="3"/>
  <c r="CM43" i="3"/>
  <c r="CP43" i="3"/>
  <c r="BD43" i="3"/>
  <c r="CO43" i="3" s="1"/>
  <c r="CU43" i="3"/>
  <c r="CU35" i="3"/>
  <c r="CM35" i="3"/>
  <c r="CX35" i="3"/>
  <c r="CX27" i="3"/>
  <c r="CM27" i="3"/>
  <c r="CU27" i="3"/>
  <c r="CP27" i="3"/>
  <c r="BD27" i="3"/>
  <c r="CO27" i="3" s="1"/>
  <c r="CP11" i="3"/>
  <c r="BD11" i="3"/>
  <c r="CZ11" i="3" s="1"/>
  <c r="Y91" i="3"/>
  <c r="Y103" i="3"/>
  <c r="CP86" i="3"/>
  <c r="CM86" i="3"/>
  <c r="CX86" i="3"/>
  <c r="BD4" i="3"/>
  <c r="CS4" i="3" s="1"/>
  <c r="CQ4" i="3"/>
  <c r="CQ8" i="3" s="1"/>
  <c r="CU4" i="3"/>
  <c r="CQ75" i="3"/>
  <c r="CX75" i="3"/>
  <c r="BD75" i="3"/>
  <c r="CT67" i="3"/>
  <c r="CU67" i="3"/>
  <c r="CX67" i="3"/>
  <c r="CQ67" i="3"/>
  <c r="CQ59" i="3"/>
  <c r="CT59" i="3"/>
  <c r="CX59" i="3"/>
  <c r="BD59" i="3"/>
  <c r="CG59" i="3" s="1"/>
  <c r="CQ53" i="3"/>
  <c r="CU53" i="3"/>
  <c r="CX53" i="3"/>
  <c r="CT53" i="3"/>
  <c r="DO66" i="3"/>
  <c r="T82" i="3"/>
  <c r="CD8" i="3"/>
  <c r="Q100" i="3"/>
  <c r="CD87" i="3"/>
  <c r="Q103" i="3"/>
  <c r="Q91" i="3"/>
  <c r="R103" i="3"/>
  <c r="R91" i="3"/>
  <c r="S91" i="3"/>
  <c r="S103" i="3"/>
  <c r="S105" i="3"/>
  <c r="S98" i="3"/>
  <c r="BT83" i="3"/>
  <c r="BT84" i="3" s="1"/>
  <c r="BT102" i="3" s="1"/>
  <c r="DM71" i="3"/>
  <c r="DJ93" i="3"/>
  <c r="AS98" i="3"/>
  <c r="AS82" i="3"/>
  <c r="DU98" i="3"/>
  <c r="DU105" i="3" s="1"/>
  <c r="DI96" i="3"/>
  <c r="DI98" i="3" s="1"/>
  <c r="AY82" i="3"/>
  <c r="AM105" i="3"/>
  <c r="DQ64" i="3"/>
  <c r="DQ57" i="3"/>
  <c r="DU16" i="3"/>
  <c r="DN43" i="3"/>
  <c r="AV84" i="3"/>
  <c r="AV102" i="3" s="1"/>
  <c r="DC8" i="3"/>
  <c r="DU8" i="3"/>
  <c r="DU100" i="3" s="1"/>
  <c r="AW104" i="3"/>
  <c r="DP87" i="3"/>
  <c r="AN101" i="3"/>
  <c r="K104" i="3"/>
  <c r="AR100" i="3"/>
  <c r="DS17" i="3"/>
  <c r="AQ100" i="3"/>
  <c r="DS83" i="3"/>
  <c r="DS84" i="3" s="1"/>
  <c r="DS102" i="3" s="1"/>
  <c r="DM79" i="3"/>
  <c r="AQ91" i="3"/>
  <c r="DU93" i="3"/>
  <c r="DU95" i="3" s="1"/>
  <c r="DU104" i="3" s="1"/>
  <c r="DU85" i="3"/>
  <c r="DG96" i="3"/>
  <c r="DG98" i="3" s="1"/>
  <c r="D91" i="3"/>
  <c r="U26" i="3"/>
  <c r="BC26" i="3" s="1"/>
  <c r="BM26" i="3" s="1"/>
  <c r="U43" i="3"/>
  <c r="BC43" i="3" s="1"/>
  <c r="CC43" i="3" s="1"/>
  <c r="U35" i="3"/>
  <c r="BC35" i="3" s="1"/>
  <c r="U75" i="3"/>
  <c r="BC75" i="3" s="1"/>
  <c r="CX80" i="3"/>
  <c r="CH49" i="3"/>
  <c r="AV104" i="3"/>
  <c r="DQ17" i="3"/>
  <c r="CP8" i="3"/>
  <c r="DQ72" i="3"/>
  <c r="AA82" i="3"/>
  <c r="DJ56" i="3"/>
  <c r="DQ98" i="3"/>
  <c r="AT95" i="3"/>
  <c r="AM103" i="3"/>
  <c r="AV95" i="3"/>
  <c r="DM24" i="3"/>
  <c r="DQ80" i="3"/>
  <c r="AN104" i="3"/>
  <c r="DS49" i="3"/>
  <c r="AO101" i="3"/>
  <c r="AQ101" i="3"/>
  <c r="AN91" i="3"/>
  <c r="BC46" i="3"/>
  <c r="CJ46" i="3" s="1"/>
  <c r="AN103" i="3"/>
  <c r="DM85" i="3"/>
  <c r="DM91" i="3" s="1"/>
  <c r="DM32" i="3"/>
  <c r="J8" i="3"/>
  <c r="Q95" i="3"/>
  <c r="R101" i="3"/>
  <c r="EC91" i="3"/>
  <c r="U39" i="3"/>
  <c r="BC39" i="3" s="1"/>
  <c r="U31" i="3"/>
  <c r="BC31" i="3" s="1"/>
  <c r="ED91" i="3"/>
  <c r="CE74" i="3"/>
  <c r="BD51" i="3"/>
  <c r="DO51" i="3" s="1"/>
  <c r="CH43" i="3"/>
  <c r="V101" i="3"/>
  <c r="CE76" i="3"/>
  <c r="CX21" i="3"/>
  <c r="CE13" i="3"/>
  <c r="CH88" i="3"/>
  <c r="BA8" i="3"/>
  <c r="BB8" i="3"/>
  <c r="BN8" i="3"/>
  <c r="DG90" i="3"/>
  <c r="CH98" i="3"/>
  <c r="DM48" i="3"/>
  <c r="DI90" i="3"/>
  <c r="AT8" i="3"/>
  <c r="AU8" i="3"/>
  <c r="CE52" i="3"/>
  <c r="CE12" i="3"/>
  <c r="AV8" i="3"/>
  <c r="EE101" i="3"/>
  <c r="BC64" i="3"/>
  <c r="CA64" i="3" s="1"/>
  <c r="CX52" i="3"/>
  <c r="CU13" i="3"/>
  <c r="CX88" i="3"/>
  <c r="AC100" i="3"/>
  <c r="AC91" i="3"/>
  <c r="CA23" i="3"/>
  <c r="BS90" i="3"/>
  <c r="CN90" i="3"/>
  <c r="CV90" i="3"/>
  <c r="CF90" i="3"/>
  <c r="CJ90" i="3"/>
  <c r="CA90" i="3"/>
  <c r="BQ90" i="3"/>
  <c r="DK76" i="3"/>
  <c r="CA76" i="3"/>
  <c r="BY76" i="3"/>
  <c r="CG86" i="3"/>
  <c r="BO23" i="3"/>
  <c r="CF23" i="3"/>
  <c r="DK23" i="3"/>
  <c r="BO76" i="3"/>
  <c r="BM23" i="3"/>
  <c r="CJ23" i="3"/>
  <c r="BQ52" i="3"/>
  <c r="CC52" i="3"/>
  <c r="BM18" i="3"/>
  <c r="BK18" i="3"/>
  <c r="CJ18" i="3"/>
  <c r="CF18" i="3"/>
  <c r="CV18" i="3"/>
  <c r="BK23" i="3"/>
  <c r="BY23" i="3"/>
  <c r="CR23" i="3"/>
  <c r="CV23" i="3"/>
  <c r="BQ23" i="3"/>
  <c r="BW23" i="3"/>
  <c r="CN23" i="3"/>
  <c r="BS23" i="3"/>
  <c r="BU76" i="3"/>
  <c r="BU23" i="3"/>
  <c r="BW76" i="3"/>
  <c r="CC20" i="3"/>
  <c r="BL68" i="3"/>
  <c r="BP24" i="3"/>
  <c r="F95" i="3"/>
  <c r="BP93" i="3"/>
  <c r="BP95" i="3" s="1"/>
  <c r="DQ95" i="3"/>
  <c r="D104" i="3"/>
  <c r="BL92" i="3"/>
  <c r="BL95" i="3" s="1"/>
  <c r="BN86" i="3"/>
  <c r="BN91" i="3" s="1"/>
  <c r="E91" i="3"/>
  <c r="BP4" i="3"/>
  <c r="BP8" i="3" s="1"/>
  <c r="F100" i="3"/>
  <c r="BT41" i="3"/>
  <c r="CW54" i="3"/>
  <c r="E101" i="3"/>
  <c r="EC82" i="3"/>
  <c r="EC101" i="3"/>
  <c r="BL55" i="3"/>
  <c r="BC55" i="3"/>
  <c r="DY55" i="3" s="1"/>
  <c r="J105" i="3"/>
  <c r="BV98" i="3"/>
  <c r="BC72" i="3"/>
  <c r="CD94" i="3"/>
  <c r="CW66" i="3"/>
  <c r="DB66" i="3"/>
  <c r="DB67" i="3"/>
  <c r="K103" i="3"/>
  <c r="K95" i="3"/>
  <c r="BC68" i="3"/>
  <c r="BK68" i="3" s="1"/>
  <c r="BC12" i="3"/>
  <c r="CD83" i="3"/>
  <c r="CD84" i="3" s="1"/>
  <c r="CD102" i="3" s="1"/>
  <c r="S82" i="3"/>
  <c r="CU60" i="3"/>
  <c r="CU45" i="3"/>
  <c r="BL91" i="3"/>
  <c r="CK29" i="3"/>
  <c r="BC41" i="3"/>
  <c r="BC78" i="3"/>
  <c r="CB97" i="3"/>
  <c r="CB98" i="3" s="1"/>
  <c r="P105" i="3"/>
  <c r="BD22" i="3"/>
  <c r="CW22" i="3" s="1"/>
  <c r="CP22" i="3"/>
  <c r="CP14" i="3"/>
  <c r="Y101" i="3"/>
  <c r="CM14" i="3"/>
  <c r="Y98" i="3"/>
  <c r="BD97" i="3"/>
  <c r="CS97" i="3" s="1"/>
  <c r="CT62" i="3"/>
  <c r="CX62" i="3"/>
  <c r="CQ48" i="3"/>
  <c r="CU48" i="3"/>
  <c r="CT18" i="3"/>
  <c r="CQ18" i="3"/>
  <c r="AA8" i="3"/>
  <c r="AA100" i="3"/>
  <c r="BC14" i="3"/>
  <c r="CR14" i="3" s="1"/>
  <c r="DD95" i="3"/>
  <c r="BN75" i="3"/>
  <c r="E8" i="3"/>
  <c r="CX77" i="3"/>
  <c r="V103" i="3"/>
  <c r="W91" i="3"/>
  <c r="DG34" i="3"/>
  <c r="CX11" i="3"/>
  <c r="CU11" i="3"/>
  <c r="CU86" i="3"/>
  <c r="CU7" i="3"/>
  <c r="H103" i="3"/>
  <c r="BZ25" i="3"/>
  <c r="BZ17" i="3"/>
  <c r="DQ29" i="3"/>
  <c r="DS29" i="3"/>
  <c r="DF55" i="3"/>
  <c r="DD55" i="3"/>
  <c r="DS8" i="3"/>
  <c r="CM98" i="3"/>
  <c r="DP98" i="3"/>
  <c r="CX43" i="3"/>
  <c r="BC36" i="3"/>
  <c r="BD88" i="3"/>
  <c r="CM45" i="3"/>
  <c r="CP45" i="3"/>
  <c r="CU78" i="3"/>
  <c r="X91" i="3"/>
  <c r="CM8" i="3"/>
  <c r="M8" i="3"/>
  <c r="Y95" i="3"/>
  <c r="BD73" i="3"/>
  <c r="DE73" i="3" s="1"/>
  <c r="CU58" i="3"/>
  <c r="CU14" i="3"/>
  <c r="CX89" i="3"/>
  <c r="BD70" i="3"/>
  <c r="DZ70" i="3" s="1"/>
  <c r="BD62" i="3"/>
  <c r="DZ62" i="3" s="1"/>
  <c r="CU55" i="3"/>
  <c r="CX47" i="3"/>
  <c r="CU39" i="3"/>
  <c r="CU31" i="3"/>
  <c r="BD23" i="3"/>
  <c r="BE23" i="3" s="1"/>
  <c r="BG23" i="3" s="1"/>
  <c r="AA101" i="3"/>
  <c r="CX90" i="3"/>
  <c r="AA98" i="3"/>
  <c r="CX79" i="3"/>
  <c r="BD63" i="3"/>
  <c r="CO63" i="3" s="1"/>
  <c r="BD32" i="3"/>
  <c r="CG32" i="3" s="1"/>
  <c r="CX24" i="3"/>
  <c r="BD16" i="3"/>
  <c r="DO16" i="3" s="1"/>
  <c r="AB91" i="3"/>
  <c r="CU93" i="3"/>
  <c r="BD80" i="3"/>
  <c r="DO80" i="3" s="1"/>
  <c r="BD64" i="3"/>
  <c r="CZ64" i="3" s="1"/>
  <c r="BD57" i="3"/>
  <c r="CG57" i="3" s="1"/>
  <c r="BD33" i="3"/>
  <c r="DH33" i="3" s="1"/>
  <c r="AC95" i="3"/>
  <c r="AD82" i="3"/>
  <c r="BD50" i="3"/>
  <c r="CO50" i="3" s="1"/>
  <c r="BD26" i="3"/>
  <c r="DH26" i="3" s="1"/>
  <c r="BD18" i="3"/>
  <c r="DE18" i="3" s="1"/>
  <c r="BD10" i="3"/>
  <c r="DH10" i="3" s="1"/>
  <c r="AD104" i="3"/>
  <c r="AE8" i="3"/>
  <c r="BD74" i="3"/>
  <c r="DL74" i="3" s="1"/>
  <c r="BD35" i="3"/>
  <c r="DO35" i="3" s="1"/>
  <c r="BD19" i="3"/>
  <c r="CO19" i="3" s="1"/>
  <c r="AE103" i="3"/>
  <c r="BD52" i="3"/>
  <c r="DB52" i="3" s="1"/>
  <c r="BD12" i="3"/>
  <c r="DL12" i="3" s="1"/>
  <c r="AF91" i="3"/>
  <c r="BD76" i="3"/>
  <c r="DB76" i="3" s="1"/>
  <c r="AG98" i="3"/>
  <c r="AH82" i="3"/>
  <c r="AH91" i="3"/>
  <c r="AH105" i="3"/>
  <c r="G95" i="3"/>
  <c r="BZ81" i="3"/>
  <c r="BZ73" i="3"/>
  <c r="W8" i="3"/>
  <c r="CE27" i="3"/>
  <c r="D95" i="3"/>
  <c r="I105" i="3"/>
  <c r="BZ80" i="3"/>
  <c r="BZ64" i="3"/>
  <c r="BZ58" i="3"/>
  <c r="BZ92" i="3"/>
  <c r="BZ66" i="3"/>
  <c r="U7" i="3"/>
  <c r="BC7" i="3" s="1"/>
  <c r="BZ15" i="3"/>
  <c r="N104" i="3"/>
  <c r="U24" i="3"/>
  <c r="BC24" i="3" s="1"/>
  <c r="BO24" i="3" s="1"/>
  <c r="CH7" i="3"/>
  <c r="CH8" i="3" s="1"/>
  <c r="CU76" i="3"/>
  <c r="CE53" i="3"/>
  <c r="CH45" i="3"/>
  <c r="DJ80" i="3"/>
  <c r="BZ54" i="3"/>
  <c r="BZ22" i="3"/>
  <c r="BZ89" i="3"/>
  <c r="BZ78" i="3"/>
  <c r="U47" i="3"/>
  <c r="BC47" i="3" s="1"/>
  <c r="U71" i="3"/>
  <c r="BC71" i="3" s="1"/>
  <c r="U51" i="3"/>
  <c r="BC51" i="3" s="1"/>
  <c r="BW51" i="3" s="1"/>
  <c r="CE4" i="3"/>
  <c r="CE8" i="3" s="1"/>
  <c r="CE59" i="3"/>
  <c r="BN105" i="3"/>
  <c r="DI100" i="3"/>
  <c r="DC98" i="3"/>
  <c r="CQ51" i="3"/>
  <c r="CT51" i="3"/>
  <c r="AF100" i="3"/>
  <c r="AF8" i="3"/>
  <c r="DA14" i="3"/>
  <c r="CY14" i="3"/>
  <c r="CU81" i="3"/>
  <c r="CU36" i="3"/>
  <c r="AH101" i="3"/>
  <c r="CU44" i="3"/>
  <c r="AF103" i="3"/>
  <c r="CU96" i="3"/>
  <c r="Y82" i="3"/>
  <c r="Q101" i="3"/>
  <c r="CX15" i="3"/>
  <c r="CM17" i="3"/>
  <c r="CX44" i="3"/>
  <c r="CU47" i="3"/>
  <c r="BD65" i="3"/>
  <c r="CX48" i="3"/>
  <c r="CX23" i="3"/>
  <c r="BD25" i="3"/>
  <c r="CX25" i="3"/>
  <c r="AB95" i="3"/>
  <c r="BC73" i="3"/>
  <c r="CU83" i="3"/>
  <c r="CU84" i="3" s="1"/>
  <c r="CU102" i="3" s="1"/>
  <c r="BD90" i="3"/>
  <c r="CT65" i="3"/>
  <c r="DA45" i="3"/>
  <c r="CT21" i="3"/>
  <c r="AE100" i="3"/>
  <c r="CQ28" i="3"/>
  <c r="CQ58" i="3"/>
  <c r="K105" i="3"/>
  <c r="L103" i="3"/>
  <c r="DG83" i="3"/>
  <c r="DG84" i="3" s="1"/>
  <c r="DG102" i="3" s="1"/>
  <c r="CY83" i="3"/>
  <c r="CY84" i="3" s="1"/>
  <c r="CY102" i="3" s="1"/>
  <c r="CQ83" i="3"/>
  <c r="CQ84" i="3" s="1"/>
  <c r="CQ102" i="3" s="1"/>
  <c r="CI77" i="3"/>
  <c r="CY77" i="3"/>
  <c r="DQ77" i="3"/>
  <c r="CX55" i="3"/>
  <c r="AA103" i="3"/>
  <c r="CQ81" i="3"/>
  <c r="BD89" i="3"/>
  <c r="DB89" i="3" s="1"/>
  <c r="BD53" i="3"/>
  <c r="P101" i="3"/>
  <c r="AB82" i="3"/>
  <c r="EE82" i="3"/>
  <c r="AB101" i="3"/>
  <c r="AG101" i="3"/>
  <c r="CP17" i="3"/>
  <c r="BD47" i="3"/>
  <c r="DT47" i="3" s="1"/>
  <c r="CP98" i="3"/>
  <c r="BD31" i="3"/>
  <c r="BD55" i="3"/>
  <c r="BD36" i="3"/>
  <c r="BD39" i="3"/>
  <c r="CW39" i="3" s="1"/>
  <c r="Z98" i="3"/>
  <c r="BZ83" i="3"/>
  <c r="BZ84" i="3" s="1"/>
  <c r="BZ102" i="3" s="1"/>
  <c r="CX73" i="3"/>
  <c r="L95" i="3"/>
  <c r="BD96" i="3"/>
  <c r="CU25" i="3"/>
  <c r="CT58" i="3"/>
  <c r="BC59" i="3"/>
  <c r="CU28" i="3"/>
  <c r="AA91" i="3"/>
  <c r="CU15" i="3"/>
  <c r="CB8" i="3"/>
  <c r="DA22" i="3"/>
  <c r="AD95" i="3"/>
  <c r="DA53" i="3"/>
  <c r="U28" i="3"/>
  <c r="BC28" i="3" s="1"/>
  <c r="CE71" i="3"/>
  <c r="DQ65" i="3"/>
  <c r="DD65" i="3"/>
  <c r="DG65" i="3"/>
  <c r="DX65" i="3"/>
  <c r="DN65" i="3"/>
  <c r="BD79" i="3"/>
  <c r="CU89" i="3"/>
  <c r="CX83" i="3"/>
  <c r="CX84" i="3" s="1"/>
  <c r="CX102" i="3" s="1"/>
  <c r="CU70" i="3"/>
  <c r="DC95" i="3"/>
  <c r="BD15" i="3"/>
  <c r="Q82" i="3"/>
  <c r="CX58" i="3"/>
  <c r="BD48" i="3"/>
  <c r="CX51" i="3"/>
  <c r="CU56" i="3"/>
  <c r="CU40" i="3"/>
  <c r="CX36" i="3"/>
  <c r="CX28" i="3"/>
  <c r="CX96" i="3"/>
  <c r="L104" i="3"/>
  <c r="CX97" i="3"/>
  <c r="CU94" i="3"/>
  <c r="AB103" i="3"/>
  <c r="CX85" i="3"/>
  <c r="AE91" i="3"/>
  <c r="Y84" i="3"/>
  <c r="Y102" i="3" s="1"/>
  <c r="CX39" i="3"/>
  <c r="AG103" i="3"/>
  <c r="AG100" i="3"/>
  <c r="CY37" i="3"/>
  <c r="DA7" i="3"/>
  <c r="DA8" i="3" s="1"/>
  <c r="CQ73" i="3"/>
  <c r="J98" i="3"/>
  <c r="BX96" i="3"/>
  <c r="BX98" i="3" s="1"/>
  <c r="M103" i="3"/>
  <c r="CQ11" i="3"/>
  <c r="CT11" i="3"/>
  <c r="CT73" i="3"/>
  <c r="BD40" i="3"/>
  <c r="CW40" i="3" s="1"/>
  <c r="BD24" i="3"/>
  <c r="AC104" i="3"/>
  <c r="BC66" i="3"/>
  <c r="BZ57" i="3"/>
  <c r="Z8" i="3"/>
  <c r="Z100" i="3"/>
  <c r="DN90" i="3"/>
  <c r="DN91" i="3" s="1"/>
  <c r="DJ90" i="3"/>
  <c r="CY90" i="3"/>
  <c r="BD92" i="3"/>
  <c r="DL92" i="3" s="1"/>
  <c r="AG105" i="3"/>
  <c r="CU21" i="3"/>
  <c r="CU90" i="3"/>
  <c r="CU10" i="3"/>
  <c r="CI10" i="3"/>
  <c r="BI100" i="3"/>
  <c r="BI8" i="3"/>
  <c r="CU97" i="3"/>
  <c r="BD56" i="3"/>
  <c r="Z82" i="3"/>
  <c r="CP48" i="3"/>
  <c r="CX40" i="3"/>
  <c r="CU51" i="3"/>
  <c r="BD21" i="3"/>
  <c r="CW21" i="3" s="1"/>
  <c r="Z105" i="3"/>
  <c r="CX93" i="3"/>
  <c r="AG8" i="3"/>
  <c r="BE110" i="3"/>
  <c r="N100" i="3"/>
  <c r="N8" i="3"/>
  <c r="BI91" i="3"/>
  <c r="DG88" i="3"/>
  <c r="CQ32" i="3"/>
  <c r="H105" i="3"/>
  <c r="K100" i="3"/>
  <c r="BZ61" i="3"/>
  <c r="BZ21" i="3"/>
  <c r="M95" i="3"/>
  <c r="N91" i="3"/>
  <c r="O101" i="3"/>
  <c r="T95" i="3"/>
  <c r="U88" i="3"/>
  <c r="U77" i="3"/>
  <c r="BC77" i="3" s="1"/>
  <c r="U69" i="3"/>
  <c r="BC69" i="3" s="1"/>
  <c r="U61" i="3"/>
  <c r="BC61" i="3" s="1"/>
  <c r="U38" i="3"/>
  <c r="BC38" i="3" s="1"/>
  <c r="BU38" i="3" s="1"/>
  <c r="U30" i="3"/>
  <c r="BC30" i="3" s="1"/>
  <c r="U22" i="3"/>
  <c r="BC22" i="3" s="1"/>
  <c r="U89" i="3"/>
  <c r="BC89" i="3" s="1"/>
  <c r="U97" i="3"/>
  <c r="BC97" i="3" s="1"/>
  <c r="U56" i="3"/>
  <c r="BC56" i="3" s="1"/>
  <c r="EF91" i="3"/>
  <c r="U93" i="3"/>
  <c r="F104" i="3"/>
  <c r="BC27" i="3"/>
  <c r="J104" i="3"/>
  <c r="O95" i="3"/>
  <c r="D103" i="3"/>
  <c r="BZ23" i="3"/>
  <c r="Q8" i="3"/>
  <c r="U40" i="3"/>
  <c r="BC40" i="3" s="1"/>
  <c r="U32" i="3"/>
  <c r="BC32" i="3" s="1"/>
  <c r="BO32" i="3" s="1"/>
  <c r="U17" i="3"/>
  <c r="BC17" i="3" s="1"/>
  <c r="U81" i="3"/>
  <c r="BC81" i="3" s="1"/>
  <c r="U65" i="3"/>
  <c r="BC65" i="3" s="1"/>
  <c r="U42" i="3"/>
  <c r="BC42" i="3" s="1"/>
  <c r="CE77" i="3"/>
  <c r="CY80" i="3"/>
  <c r="O8" i="3"/>
  <c r="U60" i="3"/>
  <c r="BC60" i="3" s="1"/>
  <c r="CX74" i="3"/>
  <c r="DI95" i="3"/>
  <c r="H91" i="3"/>
  <c r="BZ70" i="3"/>
  <c r="BZ49" i="3"/>
  <c r="O100" i="3"/>
  <c r="BC45" i="3"/>
  <c r="U67" i="3"/>
  <c r="BC67" i="3" s="1"/>
  <c r="BO52" i="3"/>
  <c r="BW52" i="3"/>
  <c r="CA52" i="3"/>
  <c r="CN52" i="3"/>
  <c r="DK52" i="3"/>
  <c r="DY52" i="3"/>
  <c r="CR52" i="3"/>
  <c r="BM52" i="3"/>
  <c r="CV52" i="3"/>
  <c r="BS52" i="3"/>
  <c r="CC62" i="3"/>
  <c r="BU62" i="3"/>
  <c r="BO20" i="3"/>
  <c r="BY20" i="3"/>
  <c r="CN76" i="3"/>
  <c r="BK20" i="3"/>
  <c r="CJ20" i="3"/>
  <c r="CF76" i="3"/>
  <c r="CR20" i="3"/>
  <c r="DK20" i="3"/>
  <c r="CA20" i="3"/>
  <c r="CV43" i="3"/>
  <c r="G84" i="3"/>
  <c r="G102" i="3" s="1"/>
  <c r="BR83" i="3"/>
  <c r="BR84" i="3" s="1"/>
  <c r="BR102" i="3" s="1"/>
  <c r="J103" i="3"/>
  <c r="DD91" i="3"/>
  <c r="BC15" i="3"/>
  <c r="BP15" i="3"/>
  <c r="L101" i="3"/>
  <c r="Q104" i="3"/>
  <c r="CD92" i="3"/>
  <c r="R100" i="3"/>
  <c r="R8" i="3"/>
  <c r="U79" i="3"/>
  <c r="BC79" i="3" s="1"/>
  <c r="U63" i="3"/>
  <c r="BC63" i="3" s="1"/>
  <c r="U48" i="3"/>
  <c r="BC48" i="3" s="1"/>
  <c r="H82" i="3"/>
  <c r="M82" i="3"/>
  <c r="CB10" i="3"/>
  <c r="P82" i="3"/>
  <c r="U16" i="3"/>
  <c r="BD14" i="3"/>
  <c r="CH14" i="3"/>
  <c r="BC21" i="3"/>
  <c r="CL95" i="3"/>
  <c r="DQ8" i="3"/>
  <c r="BC70" i="3"/>
  <c r="BN70" i="3"/>
  <c r="BT92" i="3"/>
  <c r="BT95" i="3" s="1"/>
  <c r="H95" i="3"/>
  <c r="BZ14" i="3"/>
  <c r="U54" i="3"/>
  <c r="BC54" i="3" s="1"/>
  <c r="CE37" i="3"/>
  <c r="CH37" i="3"/>
  <c r="D101" i="3"/>
  <c r="BC86" i="3"/>
  <c r="F98" i="3"/>
  <c r="BP97" i="3"/>
  <c r="BP98" i="3" s="1"/>
  <c r="BT91" i="3"/>
  <c r="L100" i="3"/>
  <c r="O103" i="3"/>
  <c r="O91" i="3"/>
  <c r="P103" i="3"/>
  <c r="CE67" i="3"/>
  <c r="CH67" i="3"/>
  <c r="BZ7" i="3"/>
  <c r="BZ8" i="3" s="1"/>
  <c r="L8" i="3"/>
  <c r="M104" i="3"/>
  <c r="CX81" i="3"/>
  <c r="CH81" i="3"/>
  <c r="H100" i="3"/>
  <c r="H8" i="3"/>
  <c r="EF101" i="3"/>
  <c r="BZ10" i="3"/>
  <c r="K101" i="3"/>
  <c r="BC44" i="3"/>
  <c r="N101" i="3"/>
  <c r="S8" i="3"/>
  <c r="S100" i="3"/>
  <c r="J82" i="3"/>
  <c r="BS76" i="3" l="1"/>
  <c r="DK26" i="3"/>
  <c r="BC83" i="3"/>
  <c r="DZ72" i="3"/>
  <c r="BK76" i="3"/>
  <c r="DB54" i="3"/>
  <c r="AR106" i="3"/>
  <c r="AR112" i="3" s="1"/>
  <c r="CS86" i="3"/>
  <c r="BU64" i="3"/>
  <c r="DY76" i="3"/>
  <c r="CJ76" i="3"/>
  <c r="BM76" i="3"/>
  <c r="DH29" i="3"/>
  <c r="DE54" i="3"/>
  <c r="EF106" i="3"/>
  <c r="EF112" i="3" s="1"/>
  <c r="CS54" i="3"/>
  <c r="CV76" i="3"/>
  <c r="CM91" i="3"/>
  <c r="DJ95" i="3"/>
  <c r="DP91" i="3"/>
  <c r="DS91" i="3"/>
  <c r="DU91" i="3"/>
  <c r="DU103" i="3" s="1"/>
  <c r="CP104" i="3"/>
  <c r="AO106" i="3"/>
  <c r="AO112" i="3" s="1"/>
  <c r="BU4" i="3"/>
  <c r="BM4" i="3"/>
  <c r="BO4" i="3"/>
  <c r="BQ4" i="3"/>
  <c r="BS4" i="3"/>
  <c r="BZ98" i="3"/>
  <c r="BK43" i="3"/>
  <c r="AQ106" i="3"/>
  <c r="AQ112" i="3" s="1"/>
  <c r="AP106" i="3"/>
  <c r="AP112" i="3" s="1"/>
  <c r="CD91" i="3"/>
  <c r="BZ91" i="3"/>
  <c r="BZ103" i="3" s="1"/>
  <c r="CP91" i="3"/>
  <c r="BH106" i="3"/>
  <c r="BH112" i="3" s="1"/>
  <c r="CY91" i="3"/>
  <c r="CY103" i="3" s="1"/>
  <c r="DJ91" i="3"/>
  <c r="BI106" i="3"/>
  <c r="CL100" i="3"/>
  <c r="CH95" i="3"/>
  <c r="CH104" i="3" s="1"/>
  <c r="DS104" i="3"/>
  <c r="DI91" i="3"/>
  <c r="BT82" i="3"/>
  <c r="BX82" i="3"/>
  <c r="BX100" i="3"/>
  <c r="DC100" i="3"/>
  <c r="DF100" i="3"/>
  <c r="BB106" i="3"/>
  <c r="BB112" i="3" s="1"/>
  <c r="CO86" i="3"/>
  <c r="DL67" i="3"/>
  <c r="BA106" i="3"/>
  <c r="BA112" i="3" s="1"/>
  <c r="DO86" i="3"/>
  <c r="AY106" i="3"/>
  <c r="AY112" i="3" s="1"/>
  <c r="AW106" i="3"/>
  <c r="AW112" i="3" s="1"/>
  <c r="DQ105" i="3"/>
  <c r="CZ67" i="3"/>
  <c r="DH67" i="3"/>
  <c r="CO67" i="3"/>
  <c r="DE45" i="3"/>
  <c r="CS67" i="3"/>
  <c r="DL54" i="3"/>
  <c r="CZ54" i="3"/>
  <c r="DR67" i="3"/>
  <c r="CK7" i="3"/>
  <c r="CS7" i="3"/>
  <c r="CS8" i="3" s="1"/>
  <c r="DZ7" i="3"/>
  <c r="CE105" i="3"/>
  <c r="CW86" i="3"/>
  <c r="CZ86" i="3"/>
  <c r="DO67" i="3"/>
  <c r="CZ68" i="3"/>
  <c r="CW30" i="3"/>
  <c r="DB61" i="3"/>
  <c r="DE61" i="3"/>
  <c r="DR49" i="3"/>
  <c r="CW49" i="3"/>
  <c r="DR7" i="3"/>
  <c r="DM100" i="3"/>
  <c r="DG91" i="3"/>
  <c r="DG103" i="3" s="1"/>
  <c r="DL83" i="3"/>
  <c r="DL84" i="3" s="1"/>
  <c r="DL102" i="3" s="1"/>
  <c r="DR83" i="3"/>
  <c r="DR84" i="3" s="1"/>
  <c r="DR102" i="3" s="1"/>
  <c r="CW67" i="3"/>
  <c r="DB69" i="3"/>
  <c r="CG67" i="3"/>
  <c r="CZ37" i="3"/>
  <c r="DB30" i="3"/>
  <c r="DH72" i="3"/>
  <c r="DO30" i="3"/>
  <c r="DT49" i="3"/>
  <c r="DO29" i="3"/>
  <c r="DE67" i="3"/>
  <c r="DT73" i="3"/>
  <c r="DT67" i="3"/>
  <c r="CK67" i="3"/>
  <c r="AD106" i="3"/>
  <c r="AD112" i="3" s="1"/>
  <c r="DT51" i="3"/>
  <c r="CG69" i="3"/>
  <c r="CW37" i="3"/>
  <c r="DE37" i="3"/>
  <c r="CO69" i="3"/>
  <c r="DT69" i="3"/>
  <c r="CS73" i="3"/>
  <c r="CW69" i="3"/>
  <c r="DH69" i="3"/>
  <c r="DT68" i="3"/>
  <c r="DO69" i="3"/>
  <c r="DT37" i="3"/>
  <c r="CW68" i="3"/>
  <c r="CO51" i="3"/>
  <c r="DZ30" i="3"/>
  <c r="CK69" i="3"/>
  <c r="CW51" i="3"/>
  <c r="CG51" i="3"/>
  <c r="DL37" i="3"/>
  <c r="CS37" i="3"/>
  <c r="DZ87" i="3"/>
  <c r="DL86" i="3"/>
  <c r="DO87" i="3"/>
  <c r="DH87" i="3"/>
  <c r="DR87" i="3"/>
  <c r="CK86" i="3"/>
  <c r="DT87" i="3"/>
  <c r="DT83" i="3"/>
  <c r="DT84" i="3" s="1"/>
  <c r="DT102" i="3" s="1"/>
  <c r="CZ50" i="3"/>
  <c r="DZ40" i="3"/>
  <c r="CO58" i="3"/>
  <c r="CS41" i="3"/>
  <c r="CZ58" i="3"/>
  <c r="CO57" i="3"/>
  <c r="DL71" i="3"/>
  <c r="DR71" i="3"/>
  <c r="CG28" i="3"/>
  <c r="DZ57" i="3"/>
  <c r="DR28" i="3"/>
  <c r="DH49" i="3"/>
  <c r="CZ28" i="3"/>
  <c r="CS58" i="3"/>
  <c r="DR13" i="3"/>
  <c r="CZ7" i="3"/>
  <c r="DB7" i="3"/>
  <c r="DH7" i="3"/>
  <c r="CO7" i="3"/>
  <c r="DT7" i="3"/>
  <c r="DL87" i="3"/>
  <c r="CZ87" i="3"/>
  <c r="DB87" i="3"/>
  <c r="CK87" i="3"/>
  <c r="CO87" i="3"/>
  <c r="DE87" i="3"/>
  <c r="CI105" i="3"/>
  <c r="CO83" i="3"/>
  <c r="CO84" i="3" s="1"/>
  <c r="CO102" i="3" s="1"/>
  <c r="DB83" i="3"/>
  <c r="DB84" i="3" s="1"/>
  <c r="DB102" i="3" s="1"/>
  <c r="CW62" i="3"/>
  <c r="DL68" i="3"/>
  <c r="DT33" i="3"/>
  <c r="DB33" i="3"/>
  <c r="CK32" i="3"/>
  <c r="CW33" i="3"/>
  <c r="CZ32" i="3"/>
  <c r="CS68" i="3"/>
  <c r="DE63" i="3"/>
  <c r="CG68" i="3"/>
  <c r="DZ9" i="3"/>
  <c r="CI100" i="3"/>
  <c r="DH32" i="3"/>
  <c r="DZ32" i="3"/>
  <c r="DB60" i="3"/>
  <c r="DZ4" i="3"/>
  <c r="BO58" i="3"/>
  <c r="BY49" i="3"/>
  <c r="BQ49" i="3"/>
  <c r="CR34" i="3"/>
  <c r="CN11" i="3"/>
  <c r="BW11" i="3"/>
  <c r="CJ11" i="3"/>
  <c r="DL4" i="3"/>
  <c r="DR81" i="3"/>
  <c r="DL50" i="3"/>
  <c r="DB38" i="3"/>
  <c r="AA106" i="3"/>
  <c r="AA112" i="3" s="1"/>
  <c r="DZ35" i="3"/>
  <c r="AV106" i="3"/>
  <c r="AV112" i="3" s="1"/>
  <c r="EE106" i="3"/>
  <c r="EE112" i="3" s="1"/>
  <c r="DO58" i="3"/>
  <c r="CZ20" i="3"/>
  <c r="CG81" i="3"/>
  <c r="DT50" i="3"/>
  <c r="DR58" i="3"/>
  <c r="CG74" i="3"/>
  <c r="CX8" i="3"/>
  <c r="DH58" i="3"/>
  <c r="CG58" i="3"/>
  <c r="DB81" i="3"/>
  <c r="CG97" i="3"/>
  <c r="DE50" i="3"/>
  <c r="DZ58" i="3"/>
  <c r="DB58" i="3"/>
  <c r="BU96" i="3"/>
  <c r="AT106" i="3"/>
  <c r="AT112" i="3" s="1"/>
  <c r="DT97" i="3"/>
  <c r="CZ12" i="3"/>
  <c r="CG50" i="3"/>
  <c r="DL58" i="3"/>
  <c r="X106" i="3"/>
  <c r="X112" i="3" s="1"/>
  <c r="DT58" i="3"/>
  <c r="DR20" i="3"/>
  <c r="CO81" i="3"/>
  <c r="AL106" i="3"/>
  <c r="AL112" i="3" s="1"/>
  <c r="DC82" i="3"/>
  <c r="BR82" i="3"/>
  <c r="BR101" i="3" s="1"/>
  <c r="DE58" i="3"/>
  <c r="DB50" i="3"/>
  <c r="CG12" i="3"/>
  <c r="DO20" i="3"/>
  <c r="DZ20" i="3"/>
  <c r="DT81" i="3"/>
  <c r="CK50" i="3"/>
  <c r="BE20" i="3"/>
  <c r="BG20" i="3" s="1"/>
  <c r="CT100" i="3"/>
  <c r="CS52" i="3"/>
  <c r="CW20" i="3"/>
  <c r="DO81" i="3"/>
  <c r="DE20" i="3"/>
  <c r="DH81" i="3"/>
  <c r="DF105" i="3"/>
  <c r="DH35" i="3"/>
  <c r="DS82" i="3"/>
  <c r="CK58" i="3"/>
  <c r="CO20" i="3"/>
  <c r="DZ81" i="3"/>
  <c r="DP100" i="3"/>
  <c r="DL18" i="3"/>
  <c r="BE62" i="3"/>
  <c r="BG62" i="3" s="1"/>
  <c r="CA62" i="3"/>
  <c r="DH4" i="3"/>
  <c r="AH106" i="3"/>
  <c r="AH112" i="3" s="1"/>
  <c r="DO12" i="3"/>
  <c r="CZ10" i="3"/>
  <c r="DR57" i="3"/>
  <c r="DL62" i="3"/>
  <c r="I106" i="3"/>
  <c r="I112" i="3" s="1"/>
  <c r="DB29" i="3"/>
  <c r="CO4" i="3"/>
  <c r="W106" i="3"/>
  <c r="W112" i="3" s="1"/>
  <c r="CS29" i="3"/>
  <c r="AX106" i="3"/>
  <c r="AX112" i="3" s="1"/>
  <c r="DB86" i="3"/>
  <c r="G106" i="3"/>
  <c r="G112" i="3" s="1"/>
  <c r="CW18" i="3"/>
  <c r="CJ62" i="3"/>
  <c r="CN62" i="3"/>
  <c r="AG106" i="3"/>
  <c r="AG112" i="3" s="1"/>
  <c r="CZ4" i="3"/>
  <c r="AE106" i="3"/>
  <c r="AE112" i="3" s="1"/>
  <c r="DO4" i="3"/>
  <c r="CS12" i="3"/>
  <c r="DR18" i="3"/>
  <c r="CK16" i="3"/>
  <c r="CO62" i="3"/>
  <c r="DL29" i="3"/>
  <c r="CG4" i="3"/>
  <c r="CG8" i="3" s="1"/>
  <c r="CQ91" i="3"/>
  <c r="CQ103" i="3" s="1"/>
  <c r="CG29" i="3"/>
  <c r="CY98" i="3"/>
  <c r="CY105" i="3" s="1"/>
  <c r="DZ86" i="3"/>
  <c r="BW62" i="3"/>
  <c r="BK62" i="3"/>
  <c r="CK18" i="3"/>
  <c r="DJ82" i="3"/>
  <c r="DB4" i="3"/>
  <c r="DR29" i="3"/>
  <c r="CR62" i="3"/>
  <c r="DA103" i="3"/>
  <c r="DT86" i="3"/>
  <c r="BY62" i="3"/>
  <c r="DT4" i="3"/>
  <c r="DT8" i="3" s="1"/>
  <c r="DT100" i="3" s="1"/>
  <c r="CL105" i="3"/>
  <c r="DT29" i="3"/>
  <c r="CQ95" i="3"/>
  <c r="DE86" i="3"/>
  <c r="DK62" i="3"/>
  <c r="DR4" i="3"/>
  <c r="BD100" i="3"/>
  <c r="BZ95" i="3"/>
  <c r="BM62" i="3"/>
  <c r="CW29" i="3"/>
  <c r="AI106" i="3"/>
  <c r="AI112" i="3" s="1"/>
  <c r="DM105" i="3"/>
  <c r="EA82" i="3"/>
  <c r="EA101" i="3" s="1"/>
  <c r="BO62" i="3"/>
  <c r="CV62" i="3"/>
  <c r="DE4" i="3"/>
  <c r="CZ29" i="3"/>
  <c r="CY95" i="3"/>
  <c r="DP82" i="3"/>
  <c r="CD82" i="3"/>
  <c r="BV82" i="3"/>
  <c r="CF62" i="3"/>
  <c r="BQ62" i="3"/>
  <c r="DX82" i="3"/>
  <c r="DX101" i="3" s="1"/>
  <c r="EB106" i="3"/>
  <c r="DN104" i="3"/>
  <c r="CB103" i="3"/>
  <c r="F106" i="3"/>
  <c r="F112" i="3" s="1"/>
  <c r="CX91" i="3"/>
  <c r="DU82" i="3"/>
  <c r="DU101" i="3" s="1"/>
  <c r="CS60" i="3"/>
  <c r="H106" i="3"/>
  <c r="H112" i="3" s="1"/>
  <c r="DO92" i="3"/>
  <c r="DN82" i="3"/>
  <c r="DB17" i="3"/>
  <c r="DL78" i="3"/>
  <c r="DT12" i="3"/>
  <c r="CZ18" i="3"/>
  <c r="DH17" i="3"/>
  <c r="DZ18" i="3"/>
  <c r="DO57" i="3"/>
  <c r="CW59" i="3"/>
  <c r="CG89" i="3"/>
  <c r="DG82" i="3"/>
  <c r="DZ17" i="3"/>
  <c r="DZ21" i="3"/>
  <c r="AC106" i="3"/>
  <c r="AC112" i="3" s="1"/>
  <c r="Y106" i="3"/>
  <c r="Y112" i="3" s="1"/>
  <c r="CX98" i="3"/>
  <c r="DD82" i="3"/>
  <c r="DT18" i="3"/>
  <c r="CZ57" i="3"/>
  <c r="DB62" i="3"/>
  <c r="CW17" i="3"/>
  <c r="BQ96" i="3"/>
  <c r="DG95" i="3"/>
  <c r="CB82" i="3"/>
  <c r="BP82" i="3"/>
  <c r="DN105" i="3"/>
  <c r="CW57" i="3"/>
  <c r="DZ33" i="3"/>
  <c r="CW12" i="3"/>
  <c r="DH18" i="3"/>
  <c r="DL64" i="3"/>
  <c r="DR63" i="3"/>
  <c r="DR73" i="3"/>
  <c r="DZ83" i="3"/>
  <c r="DZ84" i="3" s="1"/>
  <c r="DZ102" i="3" s="1"/>
  <c r="CK4" i="3"/>
  <c r="BK96" i="3"/>
  <c r="DO7" i="3"/>
  <c r="DO8" i="3" s="1"/>
  <c r="DB20" i="3"/>
  <c r="CZ81" i="3"/>
  <c r="AJ106" i="3"/>
  <c r="AJ112" i="3" s="1"/>
  <c r="DZ69" i="3"/>
  <c r="DR37" i="3"/>
  <c r="BS96" i="3"/>
  <c r="DE12" i="3"/>
  <c r="CS18" i="3"/>
  <c r="DE33" i="3"/>
  <c r="DT80" i="3"/>
  <c r="CG63" i="3"/>
  <c r="CO37" i="3"/>
  <c r="DE69" i="3"/>
  <c r="CG37" i="3"/>
  <c r="CO18" i="3"/>
  <c r="DL33" i="3"/>
  <c r="DB12" i="3"/>
  <c r="DO18" i="3"/>
  <c r="CK33" i="3"/>
  <c r="DH63" i="3"/>
  <c r="CW4" i="3"/>
  <c r="DL81" i="3"/>
  <c r="DL69" i="3"/>
  <c r="CZ69" i="3"/>
  <c r="DR69" i="3"/>
  <c r="CK72" i="3"/>
  <c r="DB41" i="3"/>
  <c r="DZ37" i="3"/>
  <c r="CW72" i="3"/>
  <c r="DR72" i="3"/>
  <c r="BY96" i="3"/>
  <c r="CO72" i="3"/>
  <c r="BW96" i="3"/>
  <c r="DE72" i="3"/>
  <c r="BM96" i="3"/>
  <c r="DY92" i="3"/>
  <c r="BO92" i="3"/>
  <c r="BW92" i="3"/>
  <c r="BK92" i="3"/>
  <c r="CV92" i="3"/>
  <c r="CN92" i="3"/>
  <c r="CR92" i="3"/>
  <c r="BK49" i="3"/>
  <c r="BK34" i="3"/>
  <c r="BQ34" i="3"/>
  <c r="R106" i="3"/>
  <c r="R112" i="3" s="1"/>
  <c r="Q106" i="3"/>
  <c r="Q112" i="3" s="1"/>
  <c r="DK49" i="3"/>
  <c r="CC34" i="3"/>
  <c r="BO49" i="3"/>
  <c r="CN34" i="3"/>
  <c r="CN49" i="3"/>
  <c r="BM49" i="3"/>
  <c r="CV11" i="3"/>
  <c r="BU34" i="3"/>
  <c r="CR49" i="3"/>
  <c r="CA34" i="3"/>
  <c r="CA11" i="3"/>
  <c r="CA49" i="3"/>
  <c r="BM34" i="3"/>
  <c r="DY34" i="3"/>
  <c r="BQ37" i="3"/>
  <c r="BY87" i="3"/>
  <c r="CV87" i="3"/>
  <c r="DK87" i="3"/>
  <c r="BO87" i="3"/>
  <c r="BS87" i="3"/>
  <c r="CC87" i="3"/>
  <c r="CJ85" i="3"/>
  <c r="DY49" i="3"/>
  <c r="CV34" i="3"/>
  <c r="BM37" i="3"/>
  <c r="CF37" i="3"/>
  <c r="BK26" i="3"/>
  <c r="BU87" i="3"/>
  <c r="CJ87" i="3"/>
  <c r="DY87" i="3"/>
  <c r="CF87" i="3"/>
  <c r="CA87" i="3"/>
  <c r="BQ87" i="3"/>
  <c r="BW87" i="3"/>
  <c r="BE87" i="3"/>
  <c r="BG87" i="3" s="1"/>
  <c r="CR87" i="3"/>
  <c r="BV104" i="3"/>
  <c r="BX104" i="3"/>
  <c r="BU55" i="3"/>
  <c r="DY29" i="3"/>
  <c r="BV100" i="3"/>
  <c r="CV4" i="3"/>
  <c r="CF92" i="3"/>
  <c r="CC92" i="3"/>
  <c r="CA92" i="3"/>
  <c r="BS92" i="3"/>
  <c r="DK92" i="3"/>
  <c r="DK29" i="3"/>
  <c r="BO34" i="3"/>
  <c r="CJ29" i="3"/>
  <c r="BW34" i="3"/>
  <c r="BQ29" i="3"/>
  <c r="CA29" i="3"/>
  <c r="DK34" i="3"/>
  <c r="BM29" i="3"/>
  <c r="BU29" i="3"/>
  <c r="DY80" i="3"/>
  <c r="CR29" i="3"/>
  <c r="BK29" i="3"/>
  <c r="BE29" i="3"/>
  <c r="BG29" i="3" s="1"/>
  <c r="CC80" i="3"/>
  <c r="CF29" i="3"/>
  <c r="BW29" i="3"/>
  <c r="CN29" i="3"/>
  <c r="CC29" i="3"/>
  <c r="BW25" i="3"/>
  <c r="CR25" i="3"/>
  <c r="BU25" i="3"/>
  <c r="CN4" i="3"/>
  <c r="BE4" i="3"/>
  <c r="BG4" i="3" s="1"/>
  <c r="BK4" i="3"/>
  <c r="BW4" i="3"/>
  <c r="CR4" i="3"/>
  <c r="BY4" i="3"/>
  <c r="CJ4" i="3"/>
  <c r="CF4" i="3"/>
  <c r="DK4" i="3"/>
  <c r="CC4" i="3"/>
  <c r="DY96" i="3"/>
  <c r="BS64" i="3"/>
  <c r="CN96" i="3"/>
  <c r="E106" i="3"/>
  <c r="E112" i="3" s="1"/>
  <c r="CR85" i="3"/>
  <c r="CN85" i="3"/>
  <c r="CF80" i="3"/>
  <c r="BW64" i="3"/>
  <c r="CN80" i="3"/>
  <c r="BW80" i="3"/>
  <c r="BQ80" i="3"/>
  <c r="BO80" i="3"/>
  <c r="DK80" i="3"/>
  <c r="CV80" i="3"/>
  <c r="BE80" i="3"/>
  <c r="BG80" i="3" s="1"/>
  <c r="BS80" i="3"/>
  <c r="CA80" i="3"/>
  <c r="CR80" i="3"/>
  <c r="BU80" i="3"/>
  <c r="BY80" i="3"/>
  <c r="BM80" i="3"/>
  <c r="CA37" i="3"/>
  <c r="BE43" i="3"/>
  <c r="BG43" i="3" s="1"/>
  <c r="CF43" i="3"/>
  <c r="DY37" i="3"/>
  <c r="BK37" i="3"/>
  <c r="BU37" i="3"/>
  <c r="BU43" i="3"/>
  <c r="CV13" i="3"/>
  <c r="BO37" i="3"/>
  <c r="CC37" i="3"/>
  <c r="BM43" i="3"/>
  <c r="CR43" i="3"/>
  <c r="BY37" i="3"/>
  <c r="BO33" i="3"/>
  <c r="CN37" i="3"/>
  <c r="DY43" i="3"/>
  <c r="BS37" i="3"/>
  <c r="CC33" i="3"/>
  <c r="CR37" i="3"/>
  <c r="CA43" i="3"/>
  <c r="BQ43" i="3"/>
  <c r="DK43" i="3"/>
  <c r="CJ37" i="3"/>
  <c r="DK33" i="3"/>
  <c r="BS33" i="3"/>
  <c r="BW37" i="3"/>
  <c r="CJ43" i="3"/>
  <c r="BU33" i="3"/>
  <c r="BM92" i="3"/>
  <c r="CJ92" i="3"/>
  <c r="BU92" i="3"/>
  <c r="BY92" i="3"/>
  <c r="BE85" i="3"/>
  <c r="BG85" i="3" s="1"/>
  <c r="BU85" i="3"/>
  <c r="BY85" i="3"/>
  <c r="DY85" i="3"/>
  <c r="DK85" i="3"/>
  <c r="BW85" i="3"/>
  <c r="BS85" i="3"/>
  <c r="BM85" i="3"/>
  <c r="BQ85" i="3"/>
  <c r="CV85" i="3"/>
  <c r="BO85" i="3"/>
  <c r="CA85" i="3"/>
  <c r="BK85" i="3"/>
  <c r="CC85" i="3"/>
  <c r="BO18" i="3"/>
  <c r="BW18" i="3"/>
  <c r="DK18" i="3"/>
  <c r="CF46" i="3"/>
  <c r="BU18" i="3"/>
  <c r="CN33" i="3"/>
  <c r="DB19" i="3"/>
  <c r="DR10" i="3"/>
  <c r="DO33" i="3"/>
  <c r="CO32" i="3"/>
  <c r="CW10" i="3"/>
  <c r="CW43" i="3"/>
  <c r="CA33" i="3"/>
  <c r="DO72" i="3"/>
  <c r="DG100" i="3"/>
  <c r="CR96" i="3"/>
  <c r="BO96" i="3"/>
  <c r="CC96" i="3"/>
  <c r="CV96" i="3"/>
  <c r="CF96" i="3"/>
  <c r="CA96" i="3"/>
  <c r="DK96" i="3"/>
  <c r="BE37" i="3"/>
  <c r="BG37" i="3" s="1"/>
  <c r="DK37" i="3"/>
  <c r="BK87" i="3"/>
  <c r="CN87" i="3"/>
  <c r="CW87" i="3"/>
  <c r="CG87" i="3"/>
  <c r="J106" i="3"/>
  <c r="J112" i="3" s="1"/>
  <c r="M106" i="3"/>
  <c r="M112" i="3" s="1"/>
  <c r="CW32" i="3"/>
  <c r="DT52" i="3"/>
  <c r="CK10" i="3"/>
  <c r="CZ33" i="3"/>
  <c r="DL16" i="3"/>
  <c r="DR32" i="3"/>
  <c r="CZ63" i="3"/>
  <c r="CT103" i="3"/>
  <c r="CV33" i="3"/>
  <c r="CJ33" i="3"/>
  <c r="DL72" i="3"/>
  <c r="CI103" i="3"/>
  <c r="CS28" i="3"/>
  <c r="DE28" i="3"/>
  <c r="DL28" i="3"/>
  <c r="CK28" i="3"/>
  <c r="CO28" i="3"/>
  <c r="DO28" i="3"/>
  <c r="DT28" i="3"/>
  <c r="DH28" i="3"/>
  <c r="DZ28" i="3"/>
  <c r="DB28" i="3"/>
  <c r="P106" i="3"/>
  <c r="P112" i="3" s="1"/>
  <c r="DL52" i="3"/>
  <c r="DT10" i="3"/>
  <c r="CG33" i="3"/>
  <c r="DO32" i="3"/>
  <c r="CE100" i="3"/>
  <c r="DT72" i="3"/>
  <c r="BL100" i="3"/>
  <c r="CO54" i="3"/>
  <c r="DH54" i="3"/>
  <c r="CK54" i="3"/>
  <c r="DT54" i="3"/>
  <c r="DO54" i="3"/>
  <c r="CG54" i="3"/>
  <c r="DR54" i="3"/>
  <c r="CA32" i="3"/>
  <c r="DO52" i="3"/>
  <c r="CG10" i="3"/>
  <c r="CS33" i="3"/>
  <c r="DL32" i="3"/>
  <c r="CS32" i="3"/>
  <c r="DT71" i="3"/>
  <c r="CJ80" i="3"/>
  <c r="DB72" i="3"/>
  <c r="CZ72" i="3"/>
  <c r="CD105" i="3"/>
  <c r="DB37" i="3"/>
  <c r="CK37" i="3"/>
  <c r="DO37" i="3"/>
  <c r="CG52" i="3"/>
  <c r="DB10" i="3"/>
  <c r="BT105" i="3"/>
  <c r="BE52" i="3"/>
  <c r="BG52" i="3" s="1"/>
  <c r="CZ52" i="3"/>
  <c r="CS26" i="3"/>
  <c r="DO64" i="3"/>
  <c r="DE32" i="3"/>
  <c r="CG72" i="3"/>
  <c r="DZ29" i="3"/>
  <c r="DE29" i="3"/>
  <c r="CB104" i="3"/>
  <c r="BX103" i="3"/>
  <c r="CT105" i="3"/>
  <c r="DM82" i="3"/>
  <c r="AM106" i="3"/>
  <c r="AM112" i="3" s="1"/>
  <c r="DR68" i="3"/>
  <c r="CK68" i="3"/>
  <c r="DE68" i="3"/>
  <c r="DH68" i="3"/>
  <c r="DZ68" i="3"/>
  <c r="DB68" i="3"/>
  <c r="DO68" i="3"/>
  <c r="DL7" i="3"/>
  <c r="DE7" i="3"/>
  <c r="CW7" i="3"/>
  <c r="BY29" i="3"/>
  <c r="BS29" i="3"/>
  <c r="BO29" i="3"/>
  <c r="CG20" i="3"/>
  <c r="DT20" i="3"/>
  <c r="CS20" i="3"/>
  <c r="DH20" i="3"/>
  <c r="CK20" i="3"/>
  <c r="CS81" i="3"/>
  <c r="DE81" i="3"/>
  <c r="CK81" i="3"/>
  <c r="CL82" i="3"/>
  <c r="DE44" i="3"/>
  <c r="DH44" i="3"/>
  <c r="CK44" i="3"/>
  <c r="DT44" i="3"/>
  <c r="CS44" i="3"/>
  <c r="CZ44" i="3"/>
  <c r="CW44" i="3"/>
  <c r="DZ44" i="3"/>
  <c r="DL44" i="3"/>
  <c r="CG44" i="3"/>
  <c r="DB44" i="3"/>
  <c r="DO44" i="3"/>
  <c r="DR44" i="3"/>
  <c r="CO44" i="3"/>
  <c r="BV103" i="3"/>
  <c r="BQ33" i="3"/>
  <c r="BM33" i="3"/>
  <c r="BY33" i="3"/>
  <c r="CF33" i="3"/>
  <c r="DY33" i="3"/>
  <c r="BW33" i="3"/>
  <c r="CR33" i="3"/>
  <c r="CU91" i="3"/>
  <c r="DZ76" i="3"/>
  <c r="CG19" i="3"/>
  <c r="CW50" i="3"/>
  <c r="CC76" i="3"/>
  <c r="CR76" i="3"/>
  <c r="BY18" i="3"/>
  <c r="DY18" i="3"/>
  <c r="BS18" i="3"/>
  <c r="CC18" i="3"/>
  <c r="V106" i="3"/>
  <c r="V112" i="3" s="1"/>
  <c r="CS30" i="3"/>
  <c r="BU11" i="3"/>
  <c r="BQ11" i="3"/>
  <c r="BK11" i="3"/>
  <c r="DY11" i="3"/>
  <c r="BS11" i="3"/>
  <c r="BO11" i="3"/>
  <c r="BY11" i="3"/>
  <c r="CC11" i="3"/>
  <c r="CR11" i="3"/>
  <c r="BM11" i="3"/>
  <c r="DK11" i="3"/>
  <c r="CJ34" i="3"/>
  <c r="CF34" i="3"/>
  <c r="BY34" i="3"/>
  <c r="CC49" i="3"/>
  <c r="BW49" i="3"/>
  <c r="BS49" i="3"/>
  <c r="CF49" i="3"/>
  <c r="BU49" i="3"/>
  <c r="CJ49" i="3"/>
  <c r="CG45" i="3"/>
  <c r="CZ45" i="3"/>
  <c r="DZ45" i="3"/>
  <c r="DT45" i="3"/>
  <c r="CS45" i="3"/>
  <c r="DB45" i="3"/>
  <c r="CK45" i="3"/>
  <c r="DO45" i="3"/>
  <c r="CW45" i="3"/>
  <c r="DL45" i="3"/>
  <c r="CO45" i="3"/>
  <c r="DH45" i="3"/>
  <c r="DI82" i="3"/>
  <c r="BL82" i="3"/>
  <c r="DL60" i="3"/>
  <c r="CW60" i="3"/>
  <c r="DO60" i="3"/>
  <c r="CK60" i="3"/>
  <c r="CZ60" i="3"/>
  <c r="DT60" i="3"/>
  <c r="CO60" i="3"/>
  <c r="DZ60" i="3"/>
  <c r="DR60" i="3"/>
  <c r="DH60" i="3"/>
  <c r="CG60" i="3"/>
  <c r="CK11" i="3"/>
  <c r="CS11" i="3"/>
  <c r="BE11" i="3"/>
  <c r="BG11" i="3" s="1"/>
  <c r="DL47" i="3"/>
  <c r="CA26" i="3"/>
  <c r="CX95" i="3"/>
  <c r="CI82" i="3"/>
  <c r="CO76" i="3"/>
  <c r="CW74" i="3"/>
  <c r="DZ50" i="3"/>
  <c r="DR16" i="3"/>
  <c r="CV25" i="3"/>
  <c r="CC51" i="3"/>
  <c r="CO11" i="3"/>
  <c r="DD100" i="3"/>
  <c r="BE46" i="3"/>
  <c r="BG46" i="3" s="1"/>
  <c r="BU46" i="3"/>
  <c r="BS46" i="3"/>
  <c r="CV46" i="3"/>
  <c r="BY46" i="3"/>
  <c r="CA46" i="3"/>
  <c r="CR46" i="3"/>
  <c r="BQ46" i="3"/>
  <c r="CC46" i="3"/>
  <c r="CN46" i="3"/>
  <c r="BO46" i="3"/>
  <c r="BM46" i="3"/>
  <c r="BW46" i="3"/>
  <c r="DY46" i="3"/>
  <c r="DK46" i="3"/>
  <c r="DQ103" i="3"/>
  <c r="CD100" i="3"/>
  <c r="CS85" i="3"/>
  <c r="DR85" i="3"/>
  <c r="DZ85" i="3"/>
  <c r="DL85" i="3"/>
  <c r="CG85" i="3"/>
  <c r="DO85" i="3"/>
  <c r="DT85" i="3"/>
  <c r="DH85" i="3"/>
  <c r="DB85" i="3"/>
  <c r="CZ85" i="3"/>
  <c r="CO85" i="3"/>
  <c r="CW85" i="3"/>
  <c r="DE85" i="3"/>
  <c r="CK85" i="3"/>
  <c r="CW38" i="3"/>
  <c r="DR38" i="3"/>
  <c r="DO38" i="3"/>
  <c r="CZ38" i="3"/>
  <c r="CK38" i="3"/>
  <c r="DL38" i="3"/>
  <c r="DH38" i="3"/>
  <c r="DT38" i="3"/>
  <c r="DZ38" i="3"/>
  <c r="DE38" i="3"/>
  <c r="CO38" i="3"/>
  <c r="CS38" i="3"/>
  <c r="BL105" i="3"/>
  <c r="DA104" i="3"/>
  <c r="BK46" i="3"/>
  <c r="CJ26" i="3"/>
  <c r="DY26" i="3"/>
  <c r="CV26" i="3"/>
  <c r="BW26" i="3"/>
  <c r="BU26" i="3"/>
  <c r="DO47" i="3"/>
  <c r="CR26" i="3"/>
  <c r="CC26" i="3"/>
  <c r="DQ82" i="3"/>
  <c r="CZ76" i="3"/>
  <c r="DT74" i="3"/>
  <c r="CG18" i="3"/>
  <c r="DR50" i="3"/>
  <c r="CS50" i="3"/>
  <c r="CZ80" i="3"/>
  <c r="CW23" i="3"/>
  <c r="DR62" i="3"/>
  <c r="DK25" i="3"/>
  <c r="BE51" i="3"/>
  <c r="BG51" i="3" s="1"/>
  <c r="EC106" i="3"/>
  <c r="EC112" i="3" s="1"/>
  <c r="DE11" i="3"/>
  <c r="DL11" i="3"/>
  <c r="CC64" i="3"/>
  <c r="CR64" i="3"/>
  <c r="DK64" i="3"/>
  <c r="BK64" i="3"/>
  <c r="BY64" i="3"/>
  <c r="BQ64" i="3"/>
  <c r="DY64" i="3"/>
  <c r="BM64" i="3"/>
  <c r="CJ64" i="3"/>
  <c r="CN64" i="3"/>
  <c r="CV64" i="3"/>
  <c r="CF64" i="3"/>
  <c r="DG105" i="3"/>
  <c r="DO59" i="3"/>
  <c r="DZ59" i="3"/>
  <c r="DH59" i="3"/>
  <c r="DT59" i="3"/>
  <c r="CO59" i="3"/>
  <c r="CK59" i="3"/>
  <c r="DL59" i="3"/>
  <c r="DB59" i="3"/>
  <c r="CS59" i="3"/>
  <c r="CZ59" i="3"/>
  <c r="DR59" i="3"/>
  <c r="CW11" i="3"/>
  <c r="CW41" i="3"/>
  <c r="CH91" i="3"/>
  <c r="CG30" i="3"/>
  <c r="CC13" i="3"/>
  <c r="BM13" i="3"/>
  <c r="BO13" i="3"/>
  <c r="CR13" i="3"/>
  <c r="CF13" i="3"/>
  <c r="BW13" i="3"/>
  <c r="CA13" i="3"/>
  <c r="BY13" i="3"/>
  <c r="BS13" i="3"/>
  <c r="BE13" i="3"/>
  <c r="BG13" i="3" s="1"/>
  <c r="DK13" i="3"/>
  <c r="DY13" i="3"/>
  <c r="CJ13" i="3"/>
  <c r="CN13" i="3"/>
  <c r="BK13" i="3"/>
  <c r="BQ13" i="3"/>
  <c r="T106" i="3"/>
  <c r="T112" i="3" s="1"/>
  <c r="AK106" i="3"/>
  <c r="AK112" i="3" s="1"/>
  <c r="CH105" i="3"/>
  <c r="CK34" i="3"/>
  <c r="DH34" i="3"/>
  <c r="DR34" i="3"/>
  <c r="DZ34" i="3"/>
  <c r="DE34" i="3"/>
  <c r="DL34" i="3"/>
  <c r="CO34" i="3"/>
  <c r="DT34" i="3"/>
  <c r="CG34" i="3"/>
  <c r="CS34" i="3"/>
  <c r="DB34" i="3"/>
  <c r="DH76" i="3"/>
  <c r="CX82" i="3"/>
  <c r="BK32" i="3"/>
  <c r="CN26" i="3"/>
  <c r="BQ26" i="3"/>
  <c r="DA82" i="3"/>
  <c r="BO14" i="3"/>
  <c r="DT76" i="3"/>
  <c r="DR76" i="3"/>
  <c r="DR74" i="3"/>
  <c r="DB18" i="3"/>
  <c r="DO50" i="3"/>
  <c r="CS80" i="3"/>
  <c r="DH23" i="3"/>
  <c r="BY51" i="3"/>
  <c r="BE50" i="3"/>
  <c r="BG50" i="3" s="1"/>
  <c r="DH11" i="3"/>
  <c r="DA105" i="3"/>
  <c r="DT93" i="3"/>
  <c r="CW27" i="3"/>
  <c r="CG27" i="3"/>
  <c r="DE27" i="3"/>
  <c r="CK27" i="3"/>
  <c r="DZ27" i="3"/>
  <c r="CS27" i="3"/>
  <c r="DT27" i="3"/>
  <c r="CZ27" i="3"/>
  <c r="DL27" i="3"/>
  <c r="DR27" i="3"/>
  <c r="DO27" i="3"/>
  <c r="DH27" i="3"/>
  <c r="CS49" i="3"/>
  <c r="CG49" i="3"/>
  <c r="DO49" i="3"/>
  <c r="CO49" i="3"/>
  <c r="DB49" i="3"/>
  <c r="CZ49" i="3"/>
  <c r="DZ49" i="3"/>
  <c r="DE49" i="3"/>
  <c r="BE49" i="3"/>
  <c r="BG49" i="3" s="1"/>
  <c r="DL49" i="3"/>
  <c r="CS71" i="3"/>
  <c r="CO71" i="3"/>
  <c r="CZ71" i="3"/>
  <c r="DZ71" i="3"/>
  <c r="CK71" i="3"/>
  <c r="DE71" i="3"/>
  <c r="DO71" i="3"/>
  <c r="CG71" i="3"/>
  <c r="DB71" i="3"/>
  <c r="DH71" i="3"/>
  <c r="CG77" i="3"/>
  <c r="CS46" i="3"/>
  <c r="DR78" i="3"/>
  <c r="CK78" i="3"/>
  <c r="DE78" i="3"/>
  <c r="DT78" i="3"/>
  <c r="CG78" i="3"/>
  <c r="CS78" i="3"/>
  <c r="CW78" i="3"/>
  <c r="CO78" i="3"/>
  <c r="DZ78" i="3"/>
  <c r="CZ78" i="3"/>
  <c r="DO78" i="3"/>
  <c r="DH78" i="3"/>
  <c r="CZ83" i="3"/>
  <c r="CZ84" i="3" s="1"/>
  <c r="CZ102" i="3" s="1"/>
  <c r="CK83" i="3"/>
  <c r="CK84" i="3" s="1"/>
  <c r="CK102" i="3" s="1"/>
  <c r="CG83" i="3"/>
  <c r="CG84" i="3" s="1"/>
  <c r="CG102" i="3" s="1"/>
  <c r="BD84" i="3"/>
  <c r="BD102" i="3" s="1"/>
  <c r="DO83" i="3"/>
  <c r="DO84" i="3" s="1"/>
  <c r="DO102" i="3" s="1"/>
  <c r="CS83" i="3"/>
  <c r="CS84" i="3" s="1"/>
  <c r="CS102" i="3" s="1"/>
  <c r="DH83" i="3"/>
  <c r="DH84" i="3" s="1"/>
  <c r="DH102" i="3" s="1"/>
  <c r="DE83" i="3"/>
  <c r="DE84" i="3" s="1"/>
  <c r="DE102" i="3" s="1"/>
  <c r="DE59" i="3"/>
  <c r="DB27" i="3"/>
  <c r="DO76" i="3"/>
  <c r="CF26" i="3"/>
  <c r="DL76" i="3"/>
  <c r="CG76" i="3"/>
  <c r="CO74" i="3"/>
  <c r="DO74" i="3"/>
  <c r="DO23" i="3"/>
  <c r="BO51" i="3"/>
  <c r="DZ11" i="3"/>
  <c r="BE34" i="3"/>
  <c r="BG34" i="3" s="1"/>
  <c r="BN100" i="3"/>
  <c r="CP100" i="3"/>
  <c r="DO75" i="3"/>
  <c r="CG75" i="3"/>
  <c r="DT75" i="3"/>
  <c r="DB75" i="3"/>
  <c r="DL75" i="3"/>
  <c r="CO75" i="3"/>
  <c r="CK75" i="3"/>
  <c r="DH75" i="3"/>
  <c r="CS75" i="3"/>
  <c r="DE75" i="3"/>
  <c r="DZ75" i="3"/>
  <c r="DR75" i="3"/>
  <c r="CZ75" i="3"/>
  <c r="CM103" i="3"/>
  <c r="CI104" i="3"/>
  <c r="DY4" i="3"/>
  <c r="CA4" i="3"/>
  <c r="CR50" i="3"/>
  <c r="CF50" i="3"/>
  <c r="CV50" i="3"/>
  <c r="CN50" i="3"/>
  <c r="BU50" i="3"/>
  <c r="BM50" i="3"/>
  <c r="DK50" i="3"/>
  <c r="BQ50" i="3"/>
  <c r="BY50" i="3"/>
  <c r="BW50" i="3"/>
  <c r="BK50" i="3"/>
  <c r="BS50" i="3"/>
  <c r="CC50" i="3"/>
  <c r="CA50" i="3"/>
  <c r="CJ50" i="3"/>
  <c r="DY50" i="3"/>
  <c r="DB94" i="3"/>
  <c r="CZ94" i="3"/>
  <c r="CS94" i="3"/>
  <c r="DO94" i="3"/>
  <c r="DE94" i="3"/>
  <c r="DH94" i="3"/>
  <c r="CK94" i="3"/>
  <c r="DZ94" i="3"/>
  <c r="CO94" i="3"/>
  <c r="DR94" i="3"/>
  <c r="CW94" i="3"/>
  <c r="CG94" i="3"/>
  <c r="DL94" i="3"/>
  <c r="DT94" i="3"/>
  <c r="BO50" i="3"/>
  <c r="DB42" i="3"/>
  <c r="DO42" i="3"/>
  <c r="DL42" i="3"/>
  <c r="DE42" i="3"/>
  <c r="DZ42" i="3"/>
  <c r="DH42" i="3"/>
  <c r="CO42" i="3"/>
  <c r="DT42" i="3"/>
  <c r="CW42" i="3"/>
  <c r="CK42" i="3"/>
  <c r="CS42" i="3"/>
  <c r="CG42" i="3"/>
  <c r="DR42" i="3"/>
  <c r="DB43" i="3"/>
  <c r="CN51" i="3"/>
  <c r="BM31" i="3"/>
  <c r="CC31" i="3"/>
  <c r="CJ31" i="3"/>
  <c r="CR31" i="3"/>
  <c r="DK31" i="3"/>
  <c r="BS31" i="3"/>
  <c r="BY31" i="3"/>
  <c r="CF31" i="3"/>
  <c r="CN31" i="3"/>
  <c r="BQ31" i="3"/>
  <c r="BK31" i="3"/>
  <c r="BU31" i="3"/>
  <c r="DY31" i="3"/>
  <c r="BO31" i="3"/>
  <c r="CV31" i="3"/>
  <c r="CA31" i="3"/>
  <c r="BW31" i="3"/>
  <c r="CO93" i="3"/>
  <c r="DO93" i="3"/>
  <c r="DH93" i="3"/>
  <c r="DB93" i="3"/>
  <c r="CK93" i="3"/>
  <c r="CS93" i="3"/>
  <c r="DR93" i="3"/>
  <c r="DE93" i="3"/>
  <c r="DZ93" i="3"/>
  <c r="DL93" i="3"/>
  <c r="BS26" i="3"/>
  <c r="BE25" i="3"/>
  <c r="BG25" i="3" s="1"/>
  <c r="CW76" i="3"/>
  <c r="CS76" i="3"/>
  <c r="DH74" i="3"/>
  <c r="CZ74" i="3"/>
  <c r="DH50" i="3"/>
  <c r="DH16" i="3"/>
  <c r="DZ23" i="3"/>
  <c r="CV51" i="3"/>
  <c r="DJ101" i="3"/>
  <c r="CU95" i="3"/>
  <c r="DF82" i="3"/>
  <c r="CU8" i="3"/>
  <c r="CG11" i="3"/>
  <c r="CS51" i="3"/>
  <c r="DR51" i="3"/>
  <c r="DE51" i="3"/>
  <c r="DH51" i="3"/>
  <c r="CK51" i="3"/>
  <c r="DL51" i="3"/>
  <c r="DZ51" i="3"/>
  <c r="DB51" i="3"/>
  <c r="CZ51" i="3"/>
  <c r="AN106" i="3"/>
  <c r="AN112" i="3" s="1"/>
  <c r="CW75" i="3"/>
  <c r="DE30" i="3"/>
  <c r="DR30" i="3"/>
  <c r="DT30" i="3"/>
  <c r="DL30" i="3"/>
  <c r="CZ30" i="3"/>
  <c r="CO30" i="3"/>
  <c r="CK30" i="3"/>
  <c r="CK77" i="3"/>
  <c r="CZ77" i="3"/>
  <c r="DZ77" i="3"/>
  <c r="DO77" i="3"/>
  <c r="CO77" i="3"/>
  <c r="DR77" i="3"/>
  <c r="DL77" i="3"/>
  <c r="DT77" i="3"/>
  <c r="DE77" i="3"/>
  <c r="CS77" i="3"/>
  <c r="DB77" i="3"/>
  <c r="CW77" i="3"/>
  <c r="BW58" i="3"/>
  <c r="BU58" i="3"/>
  <c r="DK58" i="3"/>
  <c r="CF58" i="3"/>
  <c r="DY58" i="3"/>
  <c r="BK58" i="3"/>
  <c r="CC58" i="3"/>
  <c r="CN58" i="3"/>
  <c r="CJ58" i="3"/>
  <c r="CR58" i="3"/>
  <c r="BY58" i="3"/>
  <c r="BE58" i="3"/>
  <c r="BG58" i="3" s="1"/>
  <c r="BQ58" i="3"/>
  <c r="CV58" i="3"/>
  <c r="CA58" i="3"/>
  <c r="BM58" i="3"/>
  <c r="DD105" i="3"/>
  <c r="CW93" i="3"/>
  <c r="S106" i="3"/>
  <c r="S112" i="3" s="1"/>
  <c r="CW34" i="3"/>
  <c r="BO26" i="3"/>
  <c r="BE76" i="3"/>
  <c r="BG76" i="3" s="1"/>
  <c r="DE76" i="3"/>
  <c r="CK74" i="3"/>
  <c r="CS74" i="3"/>
  <c r="CO23" i="3"/>
  <c r="BQ51" i="3"/>
  <c r="DB11" i="3"/>
  <c r="DT43" i="3"/>
  <c r="DZ43" i="3"/>
  <c r="CS43" i="3"/>
  <c r="DR43" i="3"/>
  <c r="DL43" i="3"/>
  <c r="CK43" i="3"/>
  <c r="DH43" i="3"/>
  <c r="DE43" i="3"/>
  <c r="DO43" i="3"/>
  <c r="CZ43" i="3"/>
  <c r="CG43" i="3"/>
  <c r="DB46" i="3"/>
  <c r="DE46" i="3"/>
  <c r="DR46" i="3"/>
  <c r="DL46" i="3"/>
  <c r="DT46" i="3"/>
  <c r="CZ46" i="3"/>
  <c r="DZ46" i="3"/>
  <c r="DO46" i="3"/>
  <c r="CK46" i="3"/>
  <c r="CW46" i="3"/>
  <c r="CG46" i="3"/>
  <c r="CO46" i="3"/>
  <c r="DT61" i="3"/>
  <c r="CG61" i="3"/>
  <c r="DL61" i="3"/>
  <c r="CZ61" i="3"/>
  <c r="DH61" i="3"/>
  <c r="DR61" i="3"/>
  <c r="CW61" i="3"/>
  <c r="CK61" i="3"/>
  <c r="DZ61" i="3"/>
  <c r="CO61" i="3"/>
  <c r="CS61" i="3"/>
  <c r="BD8" i="3"/>
  <c r="BO64" i="3"/>
  <c r="DH13" i="3"/>
  <c r="CK13" i="3"/>
  <c r="CZ13" i="3"/>
  <c r="DL13" i="3"/>
  <c r="DB13" i="3"/>
  <c r="CG13" i="3"/>
  <c r="DO13" i="3"/>
  <c r="DZ13" i="3"/>
  <c r="CS13" i="3"/>
  <c r="DE13" i="3"/>
  <c r="CW13" i="3"/>
  <c r="DT13" i="3"/>
  <c r="CZ93" i="3"/>
  <c r="CS17" i="3"/>
  <c r="DE17" i="3"/>
  <c r="CO17" i="3"/>
  <c r="CK17" i="3"/>
  <c r="CG17" i="3"/>
  <c r="CZ17" i="3"/>
  <c r="DO17" i="3"/>
  <c r="DT17" i="3"/>
  <c r="DL17" i="3"/>
  <c r="D106" i="3"/>
  <c r="CD95" i="3"/>
  <c r="CZ34" i="3"/>
  <c r="BY26" i="3"/>
  <c r="CK76" i="3"/>
  <c r="DZ74" i="3"/>
  <c r="BK51" i="3"/>
  <c r="DO11" i="3"/>
  <c r="DR11" i="3"/>
  <c r="DT11" i="3"/>
  <c r="DM103" i="3"/>
  <c r="BW43" i="3"/>
  <c r="BO43" i="3"/>
  <c r="CN43" i="3"/>
  <c r="BS43" i="3"/>
  <c r="BY43" i="3"/>
  <c r="CG41" i="3"/>
  <c r="CZ41" i="3"/>
  <c r="DL41" i="3"/>
  <c r="CO41" i="3"/>
  <c r="DH41" i="3"/>
  <c r="DO41" i="3"/>
  <c r="DE41" i="3"/>
  <c r="DR41" i="3"/>
  <c r="DZ41" i="3"/>
  <c r="DT41" i="3"/>
  <c r="BL104" i="3"/>
  <c r="BX105" i="3"/>
  <c r="CB105" i="3"/>
  <c r="CW92" i="3"/>
  <c r="CS21" i="3"/>
  <c r="CM82" i="3"/>
  <c r="DH12" i="3"/>
  <c r="DH52" i="3"/>
  <c r="DR52" i="3"/>
  <c r="DE10" i="3"/>
  <c r="DE26" i="3"/>
  <c r="DL57" i="3"/>
  <c r="DE57" i="3"/>
  <c r="CK63" i="3"/>
  <c r="BM51" i="3"/>
  <c r="CF51" i="3"/>
  <c r="DL35" i="3"/>
  <c r="CK35" i="3"/>
  <c r="DT35" i="3"/>
  <c r="CW35" i="3"/>
  <c r="DR35" i="3"/>
  <c r="CO35" i="3"/>
  <c r="CG35" i="3"/>
  <c r="DB35" i="3"/>
  <c r="CS35" i="3"/>
  <c r="CZ35" i="3"/>
  <c r="DE35" i="3"/>
  <c r="BZ105" i="3"/>
  <c r="DI103" i="3"/>
  <c r="CM104" i="3"/>
  <c r="DY12" i="3"/>
  <c r="CF12" i="3"/>
  <c r="BO12" i="3"/>
  <c r="BM12" i="3"/>
  <c r="CN12" i="3"/>
  <c r="BY12" i="3"/>
  <c r="CC12" i="3"/>
  <c r="BK12" i="3"/>
  <c r="BS12" i="3"/>
  <c r="CA12" i="3"/>
  <c r="CV12" i="3"/>
  <c r="CR12" i="3"/>
  <c r="DK12" i="3"/>
  <c r="BQ12" i="3"/>
  <c r="CJ12" i="3"/>
  <c r="BE12" i="3"/>
  <c r="BG12" i="3" s="1"/>
  <c r="BU12" i="3"/>
  <c r="BW12" i="3"/>
  <c r="CS19" i="3"/>
  <c r="DH19" i="3"/>
  <c r="DT19" i="3"/>
  <c r="BO36" i="3"/>
  <c r="BM36" i="3"/>
  <c r="BS36" i="3"/>
  <c r="BY36" i="3"/>
  <c r="DY36" i="3"/>
  <c r="CF36" i="3"/>
  <c r="CV36" i="3"/>
  <c r="BW36" i="3"/>
  <c r="CR36" i="3"/>
  <c r="CA36" i="3"/>
  <c r="BK36" i="3"/>
  <c r="BU36" i="3"/>
  <c r="CJ36" i="3"/>
  <c r="BQ36" i="3"/>
  <c r="DK36" i="3"/>
  <c r="CC36" i="3"/>
  <c r="CN36" i="3"/>
  <c r="CR41" i="3"/>
  <c r="BM41" i="3"/>
  <c r="BE41" i="3"/>
  <c r="BG41" i="3" s="1"/>
  <c r="DY41" i="3"/>
  <c r="CF41" i="3"/>
  <c r="BO41" i="3"/>
  <c r="CN41" i="3"/>
  <c r="BU41" i="3"/>
  <c r="CJ41" i="3"/>
  <c r="CC41" i="3"/>
  <c r="DK41" i="3"/>
  <c r="BK41" i="3"/>
  <c r="BW41" i="3"/>
  <c r="CA41" i="3"/>
  <c r="CV41" i="3"/>
  <c r="BY41" i="3"/>
  <c r="BQ41" i="3"/>
  <c r="DE21" i="3"/>
  <c r="CT82" i="3"/>
  <c r="CK12" i="3"/>
  <c r="CW52" i="3"/>
  <c r="CO52" i="3"/>
  <c r="DE19" i="3"/>
  <c r="DZ10" i="3"/>
  <c r="CO26" i="3"/>
  <c r="DZ26" i="3"/>
  <c r="CS57" i="3"/>
  <c r="DH57" i="3"/>
  <c r="DL63" i="3"/>
  <c r="BU51" i="3"/>
  <c r="BM7" i="3"/>
  <c r="CC7" i="3"/>
  <c r="BK7" i="3"/>
  <c r="BO7" i="3"/>
  <c r="DK7" i="3"/>
  <c r="DY7" i="3"/>
  <c r="CA7" i="3"/>
  <c r="CR7" i="3"/>
  <c r="CF7" i="3"/>
  <c r="CV7" i="3"/>
  <c r="BY7" i="3"/>
  <c r="BU7" i="3"/>
  <c r="BU8" i="3" s="1"/>
  <c r="CN7" i="3"/>
  <c r="BW7" i="3"/>
  <c r="CJ7" i="3"/>
  <c r="BQ7" i="3"/>
  <c r="BE7" i="3"/>
  <c r="BG7" i="3" s="1"/>
  <c r="BS7" i="3"/>
  <c r="DB16" i="3"/>
  <c r="DZ16" i="3"/>
  <c r="CG16" i="3"/>
  <c r="DE16" i="3"/>
  <c r="DT16" i="3"/>
  <c r="CS16" i="3"/>
  <c r="CO16" i="3"/>
  <c r="CZ16" i="3"/>
  <c r="CW16" i="3"/>
  <c r="DB23" i="3"/>
  <c r="CZ23" i="3"/>
  <c r="CK23" i="3"/>
  <c r="CG23" i="3"/>
  <c r="DR23" i="3"/>
  <c r="DT23" i="3"/>
  <c r="DE23" i="3"/>
  <c r="DL23" i="3"/>
  <c r="CS23" i="3"/>
  <c r="CF25" i="3"/>
  <c r="CA25" i="3"/>
  <c r="BK25" i="3"/>
  <c r="BS25" i="3"/>
  <c r="BY25" i="3"/>
  <c r="BQ25" i="3"/>
  <c r="CJ25" i="3"/>
  <c r="BM25" i="3"/>
  <c r="CN25" i="3"/>
  <c r="DY25" i="3"/>
  <c r="BO25" i="3"/>
  <c r="BU39" i="3"/>
  <c r="BW39" i="3"/>
  <c r="BS39" i="3"/>
  <c r="BY39" i="3"/>
  <c r="BQ39" i="3"/>
  <c r="CC39" i="3"/>
  <c r="CF39" i="3"/>
  <c r="DY39" i="3"/>
  <c r="CJ39" i="3"/>
  <c r="BK39" i="3"/>
  <c r="CV39" i="3"/>
  <c r="CN39" i="3"/>
  <c r="CA39" i="3"/>
  <c r="CR39" i="3"/>
  <c r="BO39" i="3"/>
  <c r="DK39" i="3"/>
  <c r="BM39" i="3"/>
  <c r="DK68" i="3"/>
  <c r="CN68" i="3"/>
  <c r="DY68" i="3"/>
  <c r="BE68" i="3"/>
  <c r="BG68" i="3" s="1"/>
  <c r="BU68" i="3"/>
  <c r="CR68" i="3"/>
  <c r="CF68" i="3"/>
  <c r="CC68" i="3"/>
  <c r="CA68" i="3"/>
  <c r="CV68" i="3"/>
  <c r="BS68" i="3"/>
  <c r="BY68" i="3"/>
  <c r="CJ68" i="3"/>
  <c r="BQ68" i="3"/>
  <c r="BO68" i="3"/>
  <c r="BM68" i="3"/>
  <c r="BW68" i="3"/>
  <c r="DQ104" i="3"/>
  <c r="DR70" i="3"/>
  <c r="DR19" i="3"/>
  <c r="DO26" i="3"/>
  <c r="DB57" i="3"/>
  <c r="DB64" i="3"/>
  <c r="CS63" i="3"/>
  <c r="DY51" i="3"/>
  <c r="CA51" i="3"/>
  <c r="DE74" i="3"/>
  <c r="DB74" i="3"/>
  <c r="DP105" i="3"/>
  <c r="CN14" i="3"/>
  <c r="BK14" i="3"/>
  <c r="CA14" i="3"/>
  <c r="CF14" i="3"/>
  <c r="BY14" i="3"/>
  <c r="DY14" i="3"/>
  <c r="BQ14" i="3"/>
  <c r="DK14" i="3"/>
  <c r="BU14" i="3"/>
  <c r="CJ14" i="3"/>
  <c r="CC14" i="3"/>
  <c r="BW14" i="3"/>
  <c r="BS14" i="3"/>
  <c r="CV14" i="3"/>
  <c r="BM14" i="3"/>
  <c r="CA55" i="3"/>
  <c r="CN55" i="3"/>
  <c r="CF55" i="3"/>
  <c r="BK55" i="3"/>
  <c r="CJ55" i="3"/>
  <c r="BW55" i="3"/>
  <c r="BM55" i="3"/>
  <c r="BO55" i="3"/>
  <c r="CR55" i="3"/>
  <c r="BQ55" i="3"/>
  <c r="CV55" i="3"/>
  <c r="DK55" i="3"/>
  <c r="BS55" i="3"/>
  <c r="CC55" i="3"/>
  <c r="BY55" i="3"/>
  <c r="DT26" i="3"/>
  <c r="BE26" i="3"/>
  <c r="BG26" i="3" s="1"/>
  <c r="CS70" i="3"/>
  <c r="CK70" i="3"/>
  <c r="DH70" i="3"/>
  <c r="CZ70" i="3"/>
  <c r="CO70" i="3"/>
  <c r="DE70" i="3"/>
  <c r="DB70" i="3"/>
  <c r="CM100" i="3"/>
  <c r="DY57" i="3"/>
  <c r="CA57" i="3"/>
  <c r="BU57" i="3"/>
  <c r="BY57" i="3"/>
  <c r="CF57" i="3"/>
  <c r="BS57" i="3"/>
  <c r="CR57" i="3"/>
  <c r="CV57" i="3"/>
  <c r="CC57" i="3"/>
  <c r="BE57" i="3"/>
  <c r="BG57" i="3" s="1"/>
  <c r="BW57" i="3"/>
  <c r="CJ57" i="3"/>
  <c r="BQ57" i="3"/>
  <c r="BK57" i="3"/>
  <c r="CN57" i="3"/>
  <c r="BO57" i="3"/>
  <c r="DK57" i="3"/>
  <c r="BM57" i="3"/>
  <c r="BN103" i="3"/>
  <c r="N106" i="3"/>
  <c r="N112" i="3" s="1"/>
  <c r="DT70" i="3"/>
  <c r="DR12" i="3"/>
  <c r="DZ12" i="3"/>
  <c r="DZ52" i="3"/>
  <c r="DE52" i="3"/>
  <c r="CZ19" i="3"/>
  <c r="CO10" i="3"/>
  <c r="DL10" i="3"/>
  <c r="CZ26" i="3"/>
  <c r="CG26" i="3"/>
  <c r="CK57" i="3"/>
  <c r="DO63" i="3"/>
  <c r="DO70" i="3"/>
  <c r="CJ51" i="3"/>
  <c r="BS51" i="3"/>
  <c r="BM71" i="3"/>
  <c r="CC71" i="3"/>
  <c r="BS71" i="3"/>
  <c r="CR71" i="3"/>
  <c r="BO71" i="3"/>
  <c r="DK71" i="3"/>
  <c r="BU71" i="3"/>
  <c r="BK71" i="3"/>
  <c r="CN71" i="3"/>
  <c r="BY71" i="3"/>
  <c r="BE71" i="3"/>
  <c r="BG71" i="3" s="1"/>
  <c r="CV71" i="3"/>
  <c r="CJ71" i="3"/>
  <c r="CF71" i="3"/>
  <c r="BW71" i="3"/>
  <c r="DY71" i="3"/>
  <c r="BQ71" i="3"/>
  <c r="CA71" i="3"/>
  <c r="DR33" i="3"/>
  <c r="CO33" i="3"/>
  <c r="BE33" i="3"/>
  <c r="BG33" i="3" s="1"/>
  <c r="DT32" i="3"/>
  <c r="DB32" i="3"/>
  <c r="CO73" i="3"/>
  <c r="DO73" i="3"/>
  <c r="DB73" i="3"/>
  <c r="CZ73" i="3"/>
  <c r="CW73" i="3"/>
  <c r="DZ73" i="3"/>
  <c r="CG73" i="3"/>
  <c r="DH73" i="3"/>
  <c r="DL73" i="3"/>
  <c r="CK73" i="3"/>
  <c r="DT22" i="3"/>
  <c r="CS22" i="3"/>
  <c r="DE22" i="3"/>
  <c r="DO22" i="3"/>
  <c r="DL22" i="3"/>
  <c r="DB22" i="3"/>
  <c r="CK22" i="3"/>
  <c r="DZ22" i="3"/>
  <c r="DR22" i="3"/>
  <c r="CZ22" i="3"/>
  <c r="DH22" i="3"/>
  <c r="CG22" i="3"/>
  <c r="CO22" i="3"/>
  <c r="DF103" i="3"/>
  <c r="CV10" i="3"/>
  <c r="BO10" i="3"/>
  <c r="DK10" i="3"/>
  <c r="BE10" i="3"/>
  <c r="BG10" i="3" s="1"/>
  <c r="CA10" i="3"/>
  <c r="CF10" i="3"/>
  <c r="CC10" i="3"/>
  <c r="BY10" i="3"/>
  <c r="BM10" i="3"/>
  <c r="CR10" i="3"/>
  <c r="BQ10" i="3"/>
  <c r="BS10" i="3"/>
  <c r="BK10" i="3"/>
  <c r="DY10" i="3"/>
  <c r="BU10" i="3"/>
  <c r="CN10" i="3"/>
  <c r="CJ10" i="3"/>
  <c r="BW10" i="3"/>
  <c r="BS41" i="3"/>
  <c r="BE18" i="3"/>
  <c r="BG18" i="3" s="1"/>
  <c r="CG70" i="3"/>
  <c r="CK19" i="3"/>
  <c r="DB26" i="3"/>
  <c r="DR26" i="3"/>
  <c r="DL70" i="3"/>
  <c r="CA47" i="3"/>
  <c r="BW47" i="3"/>
  <c r="BM47" i="3"/>
  <c r="CR47" i="3"/>
  <c r="BO47" i="3"/>
  <c r="CN47" i="3"/>
  <c r="CF47" i="3"/>
  <c r="BY47" i="3"/>
  <c r="DY47" i="3"/>
  <c r="BS47" i="3"/>
  <c r="CC47" i="3"/>
  <c r="CV47" i="3"/>
  <c r="BQ47" i="3"/>
  <c r="CJ47" i="3"/>
  <c r="DK47" i="3"/>
  <c r="BK47" i="3"/>
  <c r="BU47" i="3"/>
  <c r="DZ63" i="3"/>
  <c r="DB63" i="3"/>
  <c r="CQ100" i="3"/>
  <c r="CM105" i="3"/>
  <c r="DK75" i="3"/>
  <c r="BS75" i="3"/>
  <c r="CN75" i="3"/>
  <c r="CA75" i="3"/>
  <c r="BW75" i="3"/>
  <c r="BY75" i="3"/>
  <c r="BO75" i="3"/>
  <c r="DY75" i="3"/>
  <c r="CC75" i="3"/>
  <c r="BK75" i="3"/>
  <c r="CV75" i="3"/>
  <c r="BU75" i="3"/>
  <c r="CJ75" i="3"/>
  <c r="CF75" i="3"/>
  <c r="BQ75" i="3"/>
  <c r="BM75" i="3"/>
  <c r="BE75" i="3"/>
  <c r="BG75" i="3" s="1"/>
  <c r="CR75" i="3"/>
  <c r="BL103" i="3"/>
  <c r="CA72" i="3"/>
  <c r="DK72" i="3"/>
  <c r="CC72" i="3"/>
  <c r="BU72" i="3"/>
  <c r="BY72" i="3"/>
  <c r="BK72" i="3"/>
  <c r="CR72" i="3"/>
  <c r="BS72" i="3"/>
  <c r="BM72" i="3"/>
  <c r="CF72" i="3"/>
  <c r="CJ72" i="3"/>
  <c r="BQ72" i="3"/>
  <c r="BE72" i="3"/>
  <c r="BG72" i="3" s="1"/>
  <c r="DY72" i="3"/>
  <c r="CV72" i="3"/>
  <c r="CN72" i="3"/>
  <c r="BO72" i="3"/>
  <c r="BW72" i="3"/>
  <c r="K106" i="3"/>
  <c r="K112" i="3" s="1"/>
  <c r="CK40" i="3"/>
  <c r="DL19" i="3"/>
  <c r="DO19" i="3"/>
  <c r="DL26" i="3"/>
  <c r="CK26" i="3"/>
  <c r="CW70" i="3"/>
  <c r="CH100" i="3"/>
  <c r="CK64" i="3"/>
  <c r="CS64" i="3"/>
  <c r="CO64" i="3"/>
  <c r="DR64" i="3"/>
  <c r="CG64" i="3"/>
  <c r="BE64" i="3"/>
  <c r="BG64" i="3" s="1"/>
  <c r="CW64" i="3"/>
  <c r="DE64" i="3"/>
  <c r="DH64" i="3"/>
  <c r="DT64" i="3"/>
  <c r="DS100" i="3"/>
  <c r="DZ97" i="3"/>
  <c r="CW97" i="3"/>
  <c r="DO97" i="3"/>
  <c r="DH97" i="3"/>
  <c r="DE97" i="3"/>
  <c r="DB97" i="3"/>
  <c r="CK97" i="3"/>
  <c r="DR97" i="3"/>
  <c r="CO97" i="3"/>
  <c r="CZ97" i="3"/>
  <c r="DL97" i="3"/>
  <c r="BV105" i="3"/>
  <c r="O106" i="3"/>
  <c r="O112" i="3" s="1"/>
  <c r="CO12" i="3"/>
  <c r="CK52" i="3"/>
  <c r="DZ19" i="3"/>
  <c r="CW19" i="3"/>
  <c r="DO10" i="3"/>
  <c r="CS10" i="3"/>
  <c r="CW26" i="3"/>
  <c r="DT57" i="3"/>
  <c r="DZ64" i="3"/>
  <c r="CW63" i="3"/>
  <c r="DT63" i="3"/>
  <c r="DK51" i="3"/>
  <c r="CR51" i="3"/>
  <c r="BM24" i="3"/>
  <c r="CV24" i="3"/>
  <c r="BK24" i="3"/>
  <c r="CA24" i="3"/>
  <c r="DY24" i="3"/>
  <c r="CJ24" i="3"/>
  <c r="CF24" i="3"/>
  <c r="CN24" i="3"/>
  <c r="BS24" i="3"/>
  <c r="BW24" i="3"/>
  <c r="DK24" i="3"/>
  <c r="BU24" i="3"/>
  <c r="BQ24" i="3"/>
  <c r="CR24" i="3"/>
  <c r="BY24" i="3"/>
  <c r="CC24" i="3"/>
  <c r="DB80" i="3"/>
  <c r="DR80" i="3"/>
  <c r="CO80" i="3"/>
  <c r="DH80" i="3"/>
  <c r="DL80" i="3"/>
  <c r="DE80" i="3"/>
  <c r="CK80" i="3"/>
  <c r="CG80" i="3"/>
  <c r="CW80" i="3"/>
  <c r="DZ80" i="3"/>
  <c r="CG62" i="3"/>
  <c r="DO62" i="3"/>
  <c r="CS62" i="3"/>
  <c r="DE62" i="3"/>
  <c r="DT62" i="3"/>
  <c r="CK62" i="3"/>
  <c r="DH62" i="3"/>
  <c r="CZ62" i="3"/>
  <c r="CO88" i="3"/>
  <c r="CS88" i="3"/>
  <c r="DZ88" i="3"/>
  <c r="DT88" i="3"/>
  <c r="CK88" i="3"/>
  <c r="DL88" i="3"/>
  <c r="DH88" i="3"/>
  <c r="DO88" i="3"/>
  <c r="DB88" i="3"/>
  <c r="DR88" i="3"/>
  <c r="CG88" i="3"/>
  <c r="CZ88" i="3"/>
  <c r="DE88" i="3"/>
  <c r="CW88" i="3"/>
  <c r="DD104" i="3"/>
  <c r="DY78" i="3"/>
  <c r="BQ78" i="3"/>
  <c r="CN78" i="3"/>
  <c r="BW78" i="3"/>
  <c r="CJ78" i="3"/>
  <c r="DK78" i="3"/>
  <c r="CC78" i="3"/>
  <c r="CV78" i="3"/>
  <c r="BU78" i="3"/>
  <c r="CR78" i="3"/>
  <c r="BM78" i="3"/>
  <c r="BY78" i="3"/>
  <c r="BE78" i="3"/>
  <c r="BG78" i="3" s="1"/>
  <c r="BO78" i="3"/>
  <c r="CF78" i="3"/>
  <c r="BK78" i="3"/>
  <c r="BS78" i="3"/>
  <c r="CA78" i="3"/>
  <c r="CA53" i="3"/>
  <c r="CC53" i="3"/>
  <c r="BY53" i="3"/>
  <c r="BU53" i="3"/>
  <c r="BM53" i="3"/>
  <c r="CN53" i="3"/>
  <c r="BS53" i="3"/>
  <c r="CR53" i="3"/>
  <c r="BO53" i="3"/>
  <c r="BQ53" i="3"/>
  <c r="BK53" i="3"/>
  <c r="BW53" i="3"/>
  <c r="CJ53" i="3"/>
  <c r="DK53" i="3"/>
  <c r="CV53" i="3"/>
  <c r="DY53" i="3"/>
  <c r="CF53" i="3"/>
  <c r="CQ105" i="3"/>
  <c r="DN103" i="3"/>
  <c r="DA100" i="3"/>
  <c r="CR56" i="3"/>
  <c r="CN56" i="3"/>
  <c r="BY56" i="3"/>
  <c r="DK56" i="3"/>
  <c r="BS56" i="3"/>
  <c r="CC56" i="3"/>
  <c r="BK56" i="3"/>
  <c r="BM56" i="3"/>
  <c r="CV56" i="3"/>
  <c r="BE56" i="3"/>
  <c r="BG56" i="3" s="1"/>
  <c r="BW56" i="3"/>
  <c r="BO56" i="3"/>
  <c r="DY56" i="3"/>
  <c r="CF56" i="3"/>
  <c r="BQ56" i="3"/>
  <c r="CA56" i="3"/>
  <c r="CJ56" i="3"/>
  <c r="BU56" i="3"/>
  <c r="DK77" i="3"/>
  <c r="CC77" i="3"/>
  <c r="CA77" i="3"/>
  <c r="BY77" i="3"/>
  <c r="BU77" i="3"/>
  <c r="BQ77" i="3"/>
  <c r="CV77" i="3"/>
  <c r="BM77" i="3"/>
  <c r="CJ77" i="3"/>
  <c r="DY77" i="3"/>
  <c r="CR77" i="3"/>
  <c r="BE77" i="3"/>
  <c r="BG77" i="3" s="1"/>
  <c r="CF77" i="3"/>
  <c r="BO77" i="3"/>
  <c r="CN77" i="3"/>
  <c r="BK77" i="3"/>
  <c r="BS77" i="3"/>
  <c r="BW77" i="3"/>
  <c r="CC28" i="3"/>
  <c r="CA28" i="3"/>
  <c r="CF28" i="3"/>
  <c r="BS28" i="3"/>
  <c r="CR28" i="3"/>
  <c r="BK28" i="3"/>
  <c r="CJ28" i="3"/>
  <c r="BQ28" i="3"/>
  <c r="BM28" i="3"/>
  <c r="BY28" i="3"/>
  <c r="DY28" i="3"/>
  <c r="BE28" i="3"/>
  <c r="BG28" i="3" s="1"/>
  <c r="BW28" i="3"/>
  <c r="BO28" i="3"/>
  <c r="DK28" i="3"/>
  <c r="BU28" i="3"/>
  <c r="CN28" i="3"/>
  <c r="CV28" i="3"/>
  <c r="DL36" i="3"/>
  <c r="CO36" i="3"/>
  <c r="DE36" i="3"/>
  <c r="BE36" i="3"/>
  <c r="BG36" i="3" s="1"/>
  <c r="CZ36" i="3"/>
  <c r="DT36" i="3"/>
  <c r="CG36" i="3"/>
  <c r="DO36" i="3"/>
  <c r="DZ36" i="3"/>
  <c r="CS36" i="3"/>
  <c r="DH36" i="3"/>
  <c r="DR36" i="3"/>
  <c r="CW36" i="3"/>
  <c r="CK36" i="3"/>
  <c r="DB36" i="3"/>
  <c r="AB106" i="3"/>
  <c r="AB112" i="3" s="1"/>
  <c r="CA73" i="3"/>
  <c r="BE73" i="3"/>
  <c r="BG73" i="3" s="1"/>
  <c r="BK73" i="3"/>
  <c r="BO73" i="3"/>
  <c r="CF73" i="3"/>
  <c r="CC73" i="3"/>
  <c r="BM73" i="3"/>
  <c r="CJ73" i="3"/>
  <c r="BU73" i="3"/>
  <c r="DK73" i="3"/>
  <c r="DY73" i="3"/>
  <c r="BY73" i="3"/>
  <c r="BS73" i="3"/>
  <c r="BQ73" i="3"/>
  <c r="CN73" i="3"/>
  <c r="BW73" i="3"/>
  <c r="CR73" i="3"/>
  <c r="CV73" i="3"/>
  <c r="DS105" i="3"/>
  <c r="CU98" i="3"/>
  <c r="DM104" i="3"/>
  <c r="U98" i="3"/>
  <c r="U105" i="3"/>
  <c r="U103" i="3"/>
  <c r="U91" i="3"/>
  <c r="BC88" i="3"/>
  <c r="BC91" i="3" s="1"/>
  <c r="CA19" i="3"/>
  <c r="CV19" i="3"/>
  <c r="CJ19" i="3"/>
  <c r="BW19" i="3"/>
  <c r="CC19" i="3"/>
  <c r="BM19" i="3"/>
  <c r="BO19" i="3"/>
  <c r="CN19" i="3"/>
  <c r="DK19" i="3"/>
  <c r="DY19" i="3"/>
  <c r="BU19" i="3"/>
  <c r="BY19" i="3"/>
  <c r="BK19" i="3"/>
  <c r="BS19" i="3"/>
  <c r="CR19" i="3"/>
  <c r="CF19" i="3"/>
  <c r="BQ19" i="3"/>
  <c r="BE19" i="3"/>
  <c r="BG19" i="3" s="1"/>
  <c r="DL56" i="3"/>
  <c r="DR56" i="3"/>
  <c r="DH56" i="3"/>
  <c r="DE56" i="3"/>
  <c r="DT56" i="3"/>
  <c r="DO56" i="3"/>
  <c r="DZ56" i="3"/>
  <c r="DB56" i="3"/>
  <c r="CS56" i="3"/>
  <c r="CK56" i="3"/>
  <c r="CZ56" i="3"/>
  <c r="CW56" i="3"/>
  <c r="CO56" i="3"/>
  <c r="CG56" i="3"/>
  <c r="Z106" i="3"/>
  <c r="Z112" i="3" s="1"/>
  <c r="CQ82" i="3"/>
  <c r="BU35" i="3"/>
  <c r="CF35" i="3"/>
  <c r="CN35" i="3"/>
  <c r="DK35" i="3"/>
  <c r="BO35" i="3"/>
  <c r="CV35" i="3"/>
  <c r="BQ35" i="3"/>
  <c r="BE35" i="3"/>
  <c r="BG35" i="3" s="1"/>
  <c r="BS35" i="3"/>
  <c r="CA35" i="3"/>
  <c r="BW35" i="3"/>
  <c r="BY35" i="3"/>
  <c r="CR35" i="3"/>
  <c r="BM35" i="3"/>
  <c r="CC35" i="3"/>
  <c r="CJ35" i="3"/>
  <c r="DY35" i="3"/>
  <c r="BK35" i="3"/>
  <c r="CS96" i="3"/>
  <c r="CS98" i="3" s="1"/>
  <c r="DR96" i="3"/>
  <c r="CK96" i="3"/>
  <c r="DH96" i="3"/>
  <c r="DO96" i="3"/>
  <c r="DL96" i="3"/>
  <c r="CO96" i="3"/>
  <c r="DZ96" i="3"/>
  <c r="CG96" i="3"/>
  <c r="DE96" i="3"/>
  <c r="CZ96" i="3"/>
  <c r="DB96" i="3"/>
  <c r="BD105" i="3"/>
  <c r="BE96" i="3"/>
  <c r="BG96" i="3" s="1"/>
  <c r="BD98" i="3"/>
  <c r="CW96" i="3"/>
  <c r="DT96" i="3"/>
  <c r="DH55" i="3"/>
  <c r="CO55" i="3"/>
  <c r="CK55" i="3"/>
  <c r="CZ55" i="3"/>
  <c r="CS55" i="3"/>
  <c r="DB55" i="3"/>
  <c r="CW55" i="3"/>
  <c r="BE55" i="3"/>
  <c r="BG55" i="3" s="1"/>
  <c r="CG55" i="3"/>
  <c r="DE55" i="3"/>
  <c r="DO55" i="3"/>
  <c r="DT55" i="3"/>
  <c r="DL55" i="3"/>
  <c r="DZ55" i="3"/>
  <c r="DR55" i="3"/>
  <c r="BP104" i="3"/>
  <c r="CK89" i="3"/>
  <c r="DR89" i="3"/>
  <c r="CW89" i="3"/>
  <c r="DH89" i="3"/>
  <c r="DZ89" i="3"/>
  <c r="DO89" i="3"/>
  <c r="DE89" i="3"/>
  <c r="CS89" i="3"/>
  <c r="CZ89" i="3"/>
  <c r="CO89" i="3"/>
  <c r="DL89" i="3"/>
  <c r="BD91" i="3"/>
  <c r="DT89" i="3"/>
  <c r="BD103" i="3"/>
  <c r="CY82" i="3"/>
  <c r="DI104" i="3"/>
  <c r="BU65" i="3"/>
  <c r="BY65" i="3"/>
  <c r="BW65" i="3"/>
  <c r="BM65" i="3"/>
  <c r="BO65" i="3"/>
  <c r="BK65" i="3"/>
  <c r="CR65" i="3"/>
  <c r="BS65" i="3"/>
  <c r="CC65" i="3"/>
  <c r="CJ65" i="3"/>
  <c r="DY65" i="3"/>
  <c r="CV65" i="3"/>
  <c r="BE65" i="3"/>
  <c r="BG65" i="3" s="1"/>
  <c r="BQ65" i="3"/>
  <c r="DK65" i="3"/>
  <c r="CN65" i="3"/>
  <c r="CF65" i="3"/>
  <c r="CA65" i="3"/>
  <c r="CR89" i="3"/>
  <c r="BM89" i="3"/>
  <c r="BS89" i="3"/>
  <c r="BO89" i="3"/>
  <c r="CC89" i="3"/>
  <c r="CA89" i="3"/>
  <c r="BE89" i="3"/>
  <c r="BG89" i="3" s="1"/>
  <c r="CV89" i="3"/>
  <c r="CN89" i="3"/>
  <c r="BW89" i="3"/>
  <c r="DY89" i="3"/>
  <c r="BQ89" i="3"/>
  <c r="CJ89" i="3"/>
  <c r="DK89" i="3"/>
  <c r="BK89" i="3"/>
  <c r="CF89" i="3"/>
  <c r="BU89" i="3"/>
  <c r="BY89" i="3"/>
  <c r="U8" i="3"/>
  <c r="U100" i="3"/>
  <c r="CQ104" i="3"/>
  <c r="BK66" i="3"/>
  <c r="DY66" i="3"/>
  <c r="BU66" i="3"/>
  <c r="CV66" i="3"/>
  <c r="CF66" i="3"/>
  <c r="CJ66" i="3"/>
  <c r="CC66" i="3"/>
  <c r="BY66" i="3"/>
  <c r="BS66" i="3"/>
  <c r="BQ66" i="3"/>
  <c r="CN66" i="3"/>
  <c r="BM66" i="3"/>
  <c r="BE66" i="3"/>
  <c r="BG66" i="3" s="1"/>
  <c r="CR66" i="3"/>
  <c r="DK66" i="3"/>
  <c r="BW66" i="3"/>
  <c r="CA66" i="3"/>
  <c r="BO66" i="3"/>
  <c r="CB100" i="3"/>
  <c r="DT31" i="3"/>
  <c r="CO31" i="3"/>
  <c r="DR31" i="3"/>
  <c r="DL31" i="3"/>
  <c r="DB31" i="3"/>
  <c r="CG31" i="3"/>
  <c r="DH31" i="3"/>
  <c r="CS31" i="3"/>
  <c r="DZ31" i="3"/>
  <c r="DE31" i="3"/>
  <c r="CZ31" i="3"/>
  <c r="CK31" i="3"/>
  <c r="DO31" i="3"/>
  <c r="CW31" i="3"/>
  <c r="BE31" i="3"/>
  <c r="BG31" i="3" s="1"/>
  <c r="BN82" i="3"/>
  <c r="BK67" i="3"/>
  <c r="BU67" i="3"/>
  <c r="BS67" i="3"/>
  <c r="DY67" i="3"/>
  <c r="BM67" i="3"/>
  <c r="BW67" i="3"/>
  <c r="CN67" i="3"/>
  <c r="CC67" i="3"/>
  <c r="CV67" i="3"/>
  <c r="CJ67" i="3"/>
  <c r="BO67" i="3"/>
  <c r="BY67" i="3"/>
  <c r="DK67" i="3"/>
  <c r="CF67" i="3"/>
  <c r="CA67" i="3"/>
  <c r="BE67" i="3"/>
  <c r="BG67" i="3" s="1"/>
  <c r="CR67" i="3"/>
  <c r="BQ67" i="3"/>
  <c r="BP100" i="3"/>
  <c r="CU82" i="3"/>
  <c r="DZ92" i="3"/>
  <c r="DT92" i="3"/>
  <c r="CO92" i="3"/>
  <c r="CG92" i="3"/>
  <c r="DR92" i="3"/>
  <c r="DE92" i="3"/>
  <c r="CK92" i="3"/>
  <c r="DH92" i="3"/>
  <c r="CZ92" i="3"/>
  <c r="CS92" i="3"/>
  <c r="DB92" i="3"/>
  <c r="BD95" i="3"/>
  <c r="BD104" i="3"/>
  <c r="CK48" i="3"/>
  <c r="DT48" i="3"/>
  <c r="DZ48" i="3"/>
  <c r="CG48" i="3"/>
  <c r="CZ48" i="3"/>
  <c r="CO48" i="3"/>
  <c r="DE48" i="3"/>
  <c r="DO48" i="3"/>
  <c r="DR48" i="3"/>
  <c r="DL48" i="3"/>
  <c r="CS48" i="3"/>
  <c r="CW48" i="3"/>
  <c r="DB48" i="3"/>
  <c r="DH48" i="3"/>
  <c r="DO79" i="3"/>
  <c r="DT79" i="3"/>
  <c r="DB79" i="3"/>
  <c r="CG79" i="3"/>
  <c r="CS79" i="3"/>
  <c r="CW79" i="3"/>
  <c r="DH79" i="3"/>
  <c r="CO79" i="3"/>
  <c r="DR79" i="3"/>
  <c r="DZ79" i="3"/>
  <c r="CK79" i="3"/>
  <c r="DL79" i="3"/>
  <c r="CZ79" i="3"/>
  <c r="DE79" i="3"/>
  <c r="CP105" i="3"/>
  <c r="DC103" i="3"/>
  <c r="DL25" i="3"/>
  <c r="DH25" i="3"/>
  <c r="DO25" i="3"/>
  <c r="DR25" i="3"/>
  <c r="CS25" i="3"/>
  <c r="DB25" i="3"/>
  <c r="CK25" i="3"/>
  <c r="CG25" i="3"/>
  <c r="DT25" i="3"/>
  <c r="CW25" i="3"/>
  <c r="CO25" i="3"/>
  <c r="DE25" i="3"/>
  <c r="CZ25" i="3"/>
  <c r="DZ25" i="3"/>
  <c r="DC105" i="3"/>
  <c r="CH82" i="3"/>
  <c r="BW45" i="3"/>
  <c r="CR45" i="3"/>
  <c r="BO45" i="3"/>
  <c r="CA45" i="3"/>
  <c r="BM45" i="3"/>
  <c r="BY45" i="3"/>
  <c r="BS45" i="3"/>
  <c r="DK45" i="3"/>
  <c r="CC45" i="3"/>
  <c r="CV45" i="3"/>
  <c r="BK45" i="3"/>
  <c r="BE45" i="3"/>
  <c r="BG45" i="3" s="1"/>
  <c r="DY45" i="3"/>
  <c r="CF45" i="3"/>
  <c r="CN45" i="3"/>
  <c r="BQ45" i="3"/>
  <c r="CJ45" i="3"/>
  <c r="BU45" i="3"/>
  <c r="DY17" i="3"/>
  <c r="CJ17" i="3"/>
  <c r="BS17" i="3"/>
  <c r="CN17" i="3"/>
  <c r="DK17" i="3"/>
  <c r="BO17" i="3"/>
  <c r="CA17" i="3"/>
  <c r="BY17" i="3"/>
  <c r="BK17" i="3"/>
  <c r="BU17" i="3"/>
  <c r="CV17" i="3"/>
  <c r="CC17" i="3"/>
  <c r="CF17" i="3"/>
  <c r="BW17" i="3"/>
  <c r="BM17" i="3"/>
  <c r="CR17" i="3"/>
  <c r="BQ17" i="3"/>
  <c r="BE17" i="3"/>
  <c r="BG17" i="3" s="1"/>
  <c r="CA27" i="3"/>
  <c r="CR27" i="3"/>
  <c r="BS27" i="3"/>
  <c r="CV27" i="3"/>
  <c r="BK27" i="3"/>
  <c r="BM27" i="3"/>
  <c r="CJ27" i="3"/>
  <c r="BW27" i="3"/>
  <c r="BQ27" i="3"/>
  <c r="CN27" i="3"/>
  <c r="DK27" i="3"/>
  <c r="CC27" i="3"/>
  <c r="CF27" i="3"/>
  <c r="DY27" i="3"/>
  <c r="BY27" i="3"/>
  <c r="BO27" i="3"/>
  <c r="BU27" i="3"/>
  <c r="BE27" i="3"/>
  <c r="BG27" i="3" s="1"/>
  <c r="CK21" i="3"/>
  <c r="CZ21" i="3"/>
  <c r="DO21" i="3"/>
  <c r="CG21" i="3"/>
  <c r="DR21" i="3"/>
  <c r="DL21" i="3"/>
  <c r="CO21" i="3"/>
  <c r="DT21" i="3"/>
  <c r="DH21" i="3"/>
  <c r="DB21" i="3"/>
  <c r="CE103" i="3"/>
  <c r="BM83" i="3"/>
  <c r="BM84" i="3" s="1"/>
  <c r="BM102" i="3" s="1"/>
  <c r="BW83" i="3"/>
  <c r="BW84" i="3" s="1"/>
  <c r="BW102" i="3" s="1"/>
  <c r="CA83" i="3"/>
  <c r="CA84" i="3" s="1"/>
  <c r="CA102" i="3" s="1"/>
  <c r="BU83" i="3"/>
  <c r="BU84" i="3" s="1"/>
  <c r="BU102" i="3" s="1"/>
  <c r="BE83" i="3"/>
  <c r="BS83" i="3"/>
  <c r="BS84" i="3" s="1"/>
  <c r="BS102" i="3" s="1"/>
  <c r="CV83" i="3"/>
  <c r="CV84" i="3" s="1"/>
  <c r="CV102" i="3" s="1"/>
  <c r="CR83" i="3"/>
  <c r="CR84" i="3" s="1"/>
  <c r="CR102" i="3" s="1"/>
  <c r="CJ83" i="3"/>
  <c r="CJ84" i="3" s="1"/>
  <c r="CJ102" i="3" s="1"/>
  <c r="BC84" i="3"/>
  <c r="BC102" i="3" s="1"/>
  <c r="BQ83" i="3"/>
  <c r="BQ84" i="3" s="1"/>
  <c r="BQ102" i="3" s="1"/>
  <c r="BO83" i="3"/>
  <c r="BO84" i="3" s="1"/>
  <c r="BO102" i="3" s="1"/>
  <c r="CN83" i="3"/>
  <c r="CN84" i="3" s="1"/>
  <c r="CN102" i="3" s="1"/>
  <c r="DY83" i="3"/>
  <c r="DY84" i="3" s="1"/>
  <c r="DY102" i="3" s="1"/>
  <c r="DK83" i="3"/>
  <c r="DK84" i="3" s="1"/>
  <c r="DK102" i="3" s="1"/>
  <c r="BK83" i="3"/>
  <c r="BK84" i="3" s="1"/>
  <c r="BK102" i="3" s="1"/>
  <c r="CC83" i="3"/>
  <c r="CC84" i="3" s="1"/>
  <c r="CC102" i="3" s="1"/>
  <c r="CF83" i="3"/>
  <c r="CF84" i="3" s="1"/>
  <c r="CF102" i="3" s="1"/>
  <c r="BY83" i="3"/>
  <c r="BY84" i="3" s="1"/>
  <c r="BY102" i="3" s="1"/>
  <c r="CO47" i="3"/>
  <c r="CW47" i="3"/>
  <c r="CZ47" i="3"/>
  <c r="DH47" i="3"/>
  <c r="DZ47" i="3"/>
  <c r="CG47" i="3"/>
  <c r="DB47" i="3"/>
  <c r="DR47" i="3"/>
  <c r="CK47" i="3"/>
  <c r="DE47" i="3"/>
  <c r="CS47" i="3"/>
  <c r="BE47" i="3"/>
  <c r="BG47" i="3" s="1"/>
  <c r="DJ105" i="3"/>
  <c r="AF106" i="3"/>
  <c r="AF112" i="3" s="1"/>
  <c r="BS32" i="3"/>
  <c r="CR32" i="3"/>
  <c r="CC32" i="3"/>
  <c r="BU32" i="3"/>
  <c r="BM32" i="3"/>
  <c r="BY32" i="3"/>
  <c r="DK32" i="3"/>
  <c r="CJ32" i="3"/>
  <c r="CF32" i="3"/>
  <c r="CV32" i="3"/>
  <c r="CN32" i="3"/>
  <c r="BQ32" i="3"/>
  <c r="BE32" i="3"/>
  <c r="BG32" i="3" s="1"/>
  <c r="BW32" i="3"/>
  <c r="DY32" i="3"/>
  <c r="CA38" i="3"/>
  <c r="BQ38" i="3"/>
  <c r="BE38" i="3"/>
  <c r="BG38" i="3" s="1"/>
  <c r="CF38" i="3"/>
  <c r="BS38" i="3"/>
  <c r="DY38" i="3"/>
  <c r="BM38" i="3"/>
  <c r="BY38" i="3"/>
  <c r="BW38" i="3"/>
  <c r="CN38" i="3"/>
  <c r="CJ38" i="3"/>
  <c r="DK38" i="3"/>
  <c r="CC38" i="3"/>
  <c r="CV38" i="3"/>
  <c r="BO38" i="3"/>
  <c r="CR38" i="3"/>
  <c r="BK38" i="3"/>
  <c r="DZ24" i="3"/>
  <c r="DB24" i="3"/>
  <c r="DH24" i="3"/>
  <c r="DT24" i="3"/>
  <c r="CG24" i="3"/>
  <c r="CW24" i="3"/>
  <c r="DL24" i="3"/>
  <c r="CS24" i="3"/>
  <c r="CO24" i="3"/>
  <c r="DE24" i="3"/>
  <c r="CZ24" i="3"/>
  <c r="DO24" i="3"/>
  <c r="DR24" i="3"/>
  <c r="BE24" i="3"/>
  <c r="BG24" i="3" s="1"/>
  <c r="CK24" i="3"/>
  <c r="CA74" i="3"/>
  <c r="BO74" i="3"/>
  <c r="CF74" i="3"/>
  <c r="DY74" i="3"/>
  <c r="CC74" i="3"/>
  <c r="BU74" i="3"/>
  <c r="CN74" i="3"/>
  <c r="CV74" i="3"/>
  <c r="BM74" i="3"/>
  <c r="BW74" i="3"/>
  <c r="BQ74" i="3"/>
  <c r="BY74" i="3"/>
  <c r="DK74" i="3"/>
  <c r="CJ74" i="3"/>
  <c r="CR74" i="3"/>
  <c r="BS74" i="3"/>
  <c r="BE74" i="3"/>
  <c r="BG74" i="3" s="1"/>
  <c r="CP82" i="3"/>
  <c r="BQ40" i="3"/>
  <c r="CF40" i="3"/>
  <c r="CR40" i="3"/>
  <c r="BY40" i="3"/>
  <c r="BO40" i="3"/>
  <c r="CJ40" i="3"/>
  <c r="BW40" i="3"/>
  <c r="CA40" i="3"/>
  <c r="BE40" i="3"/>
  <c r="BG40" i="3" s="1"/>
  <c r="BM40" i="3"/>
  <c r="CV40" i="3"/>
  <c r="CC40" i="3"/>
  <c r="DY40" i="3"/>
  <c r="BK40" i="3"/>
  <c r="DK40" i="3"/>
  <c r="BS40" i="3"/>
  <c r="BU40" i="3"/>
  <c r="CN40" i="3"/>
  <c r="U95" i="3"/>
  <c r="U104" i="3"/>
  <c r="BC93" i="3"/>
  <c r="DY61" i="3"/>
  <c r="BU61" i="3"/>
  <c r="BW61" i="3"/>
  <c r="CC61" i="3"/>
  <c r="CN61" i="3"/>
  <c r="BY61" i="3"/>
  <c r="BK61" i="3"/>
  <c r="BE61" i="3"/>
  <c r="BG61" i="3" s="1"/>
  <c r="BO61" i="3"/>
  <c r="CR61" i="3"/>
  <c r="BQ61" i="3"/>
  <c r="DK61" i="3"/>
  <c r="CA61" i="3"/>
  <c r="BS61" i="3"/>
  <c r="CJ61" i="3"/>
  <c r="CF61" i="3"/>
  <c r="CV61" i="3"/>
  <c r="BM61" i="3"/>
  <c r="CG40" i="3"/>
  <c r="DT40" i="3"/>
  <c r="DB40" i="3"/>
  <c r="CS40" i="3"/>
  <c r="DL40" i="3"/>
  <c r="DR40" i="3"/>
  <c r="CO40" i="3"/>
  <c r="DE40" i="3"/>
  <c r="DH40" i="3"/>
  <c r="CZ40" i="3"/>
  <c r="DO40" i="3"/>
  <c r="DH15" i="3"/>
  <c r="CZ15" i="3"/>
  <c r="DR15" i="3"/>
  <c r="CO15" i="3"/>
  <c r="CG15" i="3"/>
  <c r="DL15" i="3"/>
  <c r="DZ15" i="3"/>
  <c r="CK15" i="3"/>
  <c r="DO15" i="3"/>
  <c r="DE15" i="3"/>
  <c r="DB15" i="3"/>
  <c r="CS15" i="3"/>
  <c r="DT15" i="3"/>
  <c r="DQ101" i="3"/>
  <c r="CR59" i="3"/>
  <c r="BU59" i="3"/>
  <c r="BE59" i="3"/>
  <c r="BG59" i="3" s="1"/>
  <c r="BW59" i="3"/>
  <c r="CC59" i="3"/>
  <c r="BS59" i="3"/>
  <c r="BQ59" i="3"/>
  <c r="BO59" i="3"/>
  <c r="CA59" i="3"/>
  <c r="CV59" i="3"/>
  <c r="DK59" i="3"/>
  <c r="CF59" i="3"/>
  <c r="BY59" i="3"/>
  <c r="BK59" i="3"/>
  <c r="BM59" i="3"/>
  <c r="CJ59" i="3"/>
  <c r="CN59" i="3"/>
  <c r="DY59" i="3"/>
  <c r="CW15" i="3"/>
  <c r="DH90" i="3"/>
  <c r="CS90" i="3"/>
  <c r="DL90" i="3"/>
  <c r="CK90" i="3"/>
  <c r="DE90" i="3"/>
  <c r="CZ90" i="3"/>
  <c r="DR90" i="3"/>
  <c r="DB90" i="3"/>
  <c r="CG90" i="3"/>
  <c r="DZ90" i="3"/>
  <c r="DT90" i="3"/>
  <c r="CW90" i="3"/>
  <c r="DO90" i="3"/>
  <c r="BE90" i="3"/>
  <c r="BG90" i="3" s="1"/>
  <c r="CO90" i="3"/>
  <c r="DI105" i="3"/>
  <c r="BE92" i="3"/>
  <c r="BG92" i="3" s="1"/>
  <c r="BK69" i="3"/>
  <c r="BW69" i="3"/>
  <c r="CF69" i="3"/>
  <c r="BS69" i="3"/>
  <c r="BM69" i="3"/>
  <c r="BU69" i="3"/>
  <c r="BE69" i="3"/>
  <c r="BG69" i="3" s="1"/>
  <c r="DK69" i="3"/>
  <c r="CV69" i="3"/>
  <c r="BQ69" i="3"/>
  <c r="BO69" i="3"/>
  <c r="CR69" i="3"/>
  <c r="CN69" i="3"/>
  <c r="CJ69" i="3"/>
  <c r="CC69" i="3"/>
  <c r="CA69" i="3"/>
  <c r="DY69" i="3"/>
  <c r="BY69" i="3"/>
  <c r="DC104" i="3"/>
  <c r="DZ39" i="3"/>
  <c r="DH39" i="3"/>
  <c r="BE39" i="3"/>
  <c r="BG39" i="3" s="1"/>
  <c r="DT39" i="3"/>
  <c r="CO39" i="3"/>
  <c r="CS39" i="3"/>
  <c r="DO39" i="3"/>
  <c r="DR39" i="3"/>
  <c r="DB39" i="3"/>
  <c r="DL39" i="3"/>
  <c r="CG39" i="3"/>
  <c r="CZ39" i="3"/>
  <c r="DE39" i="3"/>
  <c r="CK39" i="3"/>
  <c r="CS53" i="3"/>
  <c r="BE53" i="3"/>
  <c r="BG53" i="3" s="1"/>
  <c r="CZ53" i="3"/>
  <c r="DE53" i="3"/>
  <c r="DR53" i="3"/>
  <c r="DL53" i="3"/>
  <c r="CO53" i="3"/>
  <c r="DZ53" i="3"/>
  <c r="CG53" i="3"/>
  <c r="DO53" i="3"/>
  <c r="DB53" i="3"/>
  <c r="CK53" i="3"/>
  <c r="DT53" i="3"/>
  <c r="DH53" i="3"/>
  <c r="CW53" i="3"/>
  <c r="DR65" i="3"/>
  <c r="CZ65" i="3"/>
  <c r="CO65" i="3"/>
  <c r="DL65" i="3"/>
  <c r="CS65" i="3"/>
  <c r="CG65" i="3"/>
  <c r="CK65" i="3"/>
  <c r="DT65" i="3"/>
  <c r="DB65" i="3"/>
  <c r="DH65" i="3"/>
  <c r="DE65" i="3"/>
  <c r="CW65" i="3"/>
  <c r="DO65" i="3"/>
  <c r="DZ65" i="3"/>
  <c r="CA86" i="3"/>
  <c r="DY86" i="3"/>
  <c r="BS86" i="3"/>
  <c r="BE86" i="3"/>
  <c r="BY86" i="3"/>
  <c r="BM86" i="3"/>
  <c r="CR86" i="3"/>
  <c r="BK86" i="3"/>
  <c r="BO86" i="3"/>
  <c r="CN86" i="3"/>
  <c r="DK86" i="3"/>
  <c r="BU86" i="3"/>
  <c r="CJ86" i="3"/>
  <c r="CV86" i="3"/>
  <c r="CF86" i="3"/>
  <c r="BW86" i="3"/>
  <c r="BQ86" i="3"/>
  <c r="CC86" i="3"/>
  <c r="DY81" i="3"/>
  <c r="CV81" i="3"/>
  <c r="DK81" i="3"/>
  <c r="BW81" i="3"/>
  <c r="BM81" i="3"/>
  <c r="CN81" i="3"/>
  <c r="CJ81" i="3"/>
  <c r="CA81" i="3"/>
  <c r="CC81" i="3"/>
  <c r="BU81" i="3"/>
  <c r="BQ81" i="3"/>
  <c r="BK81" i="3"/>
  <c r="CF81" i="3"/>
  <c r="BS81" i="3"/>
  <c r="BO81" i="3"/>
  <c r="BE81" i="3"/>
  <c r="BG81" i="3" s="1"/>
  <c r="BY81" i="3"/>
  <c r="CR81" i="3"/>
  <c r="CC63" i="3"/>
  <c r="BQ63" i="3"/>
  <c r="BK63" i="3"/>
  <c r="BW63" i="3"/>
  <c r="CN63" i="3"/>
  <c r="CJ63" i="3"/>
  <c r="DY63" i="3"/>
  <c r="BU63" i="3"/>
  <c r="BS63" i="3"/>
  <c r="DK63" i="3"/>
  <c r="CF63" i="3"/>
  <c r="BO63" i="3"/>
  <c r="BY63" i="3"/>
  <c r="CA63" i="3"/>
  <c r="CV63" i="3"/>
  <c r="BM63" i="3"/>
  <c r="BE63" i="3"/>
  <c r="BG63" i="3" s="1"/>
  <c r="CR63" i="3"/>
  <c r="DP103" i="3"/>
  <c r="BZ82" i="3"/>
  <c r="DK30" i="3"/>
  <c r="BU30" i="3"/>
  <c r="BO30" i="3"/>
  <c r="CJ30" i="3"/>
  <c r="CV30" i="3"/>
  <c r="CC30" i="3"/>
  <c r="CR30" i="3"/>
  <c r="BK30" i="3"/>
  <c r="BW30" i="3"/>
  <c r="BQ30" i="3"/>
  <c r="BY30" i="3"/>
  <c r="CA30" i="3"/>
  <c r="CN30" i="3"/>
  <c r="CF30" i="3"/>
  <c r="BE30" i="3"/>
  <c r="BG30" i="3" s="1"/>
  <c r="DY30" i="3"/>
  <c r="BM30" i="3"/>
  <c r="BS30" i="3"/>
  <c r="BK79" i="3"/>
  <c r="CJ79" i="3"/>
  <c r="CC79" i="3"/>
  <c r="BM79" i="3"/>
  <c r="BS79" i="3"/>
  <c r="BY79" i="3"/>
  <c r="CA79" i="3"/>
  <c r="DY79" i="3"/>
  <c r="BE79" i="3"/>
  <c r="BG79" i="3" s="1"/>
  <c r="CF79" i="3"/>
  <c r="BW79" i="3"/>
  <c r="CV79" i="3"/>
  <c r="CR79" i="3"/>
  <c r="BQ79" i="3"/>
  <c r="BU79" i="3"/>
  <c r="DK79" i="3"/>
  <c r="CN79" i="3"/>
  <c r="BO79" i="3"/>
  <c r="BY94" i="3"/>
  <c r="BE94" i="3"/>
  <c r="CJ94" i="3"/>
  <c r="BO94" i="3"/>
  <c r="CV94" i="3"/>
  <c r="BM94" i="3"/>
  <c r="CR94" i="3"/>
  <c r="CF94" i="3"/>
  <c r="CA94" i="3"/>
  <c r="CC94" i="3"/>
  <c r="CN94" i="3"/>
  <c r="BS94" i="3"/>
  <c r="BW94" i="3"/>
  <c r="DY94" i="3"/>
  <c r="DK94" i="3"/>
  <c r="BQ94" i="3"/>
  <c r="BU94" i="3"/>
  <c r="BK94" i="3"/>
  <c r="DK70" i="3"/>
  <c r="BO70" i="3"/>
  <c r="CC70" i="3"/>
  <c r="CN70" i="3"/>
  <c r="BU70" i="3"/>
  <c r="DY70" i="3"/>
  <c r="BS70" i="3"/>
  <c r="CR70" i="3"/>
  <c r="BK70" i="3"/>
  <c r="BE70" i="3"/>
  <c r="BG70" i="3" s="1"/>
  <c r="BQ70" i="3"/>
  <c r="CV70" i="3"/>
  <c r="CA70" i="3"/>
  <c r="BW70" i="3"/>
  <c r="BM70" i="3"/>
  <c r="CJ70" i="3"/>
  <c r="BY70" i="3"/>
  <c r="CF70" i="3"/>
  <c r="BC16" i="3"/>
  <c r="BC82" i="3" s="1"/>
  <c r="U82" i="3"/>
  <c r="U101" i="3"/>
  <c r="BY15" i="3"/>
  <c r="CC15" i="3"/>
  <c r="DY15" i="3"/>
  <c r="CR15" i="3"/>
  <c r="BM15" i="3"/>
  <c r="DK15" i="3"/>
  <c r="CA15" i="3"/>
  <c r="BW15" i="3"/>
  <c r="CN15" i="3"/>
  <c r="CF15" i="3"/>
  <c r="CJ15" i="3"/>
  <c r="BU15" i="3"/>
  <c r="BO15" i="3"/>
  <c r="BQ15" i="3"/>
  <c r="BK15" i="3"/>
  <c r="BS15" i="3"/>
  <c r="BE15" i="3"/>
  <c r="BG15" i="3" s="1"/>
  <c r="CV15" i="3"/>
  <c r="L106" i="3"/>
  <c r="L112" i="3" s="1"/>
  <c r="CE82" i="3"/>
  <c r="DQ100" i="3"/>
  <c r="DD103" i="3"/>
  <c r="DJ104" i="3"/>
  <c r="DS103" i="3"/>
  <c r="BQ97" i="3"/>
  <c r="CR97" i="3"/>
  <c r="CN97" i="3"/>
  <c r="CC97" i="3"/>
  <c r="CC98" i="3" s="1"/>
  <c r="CF97" i="3"/>
  <c r="BY97" i="3"/>
  <c r="BY98" i="3" s="1"/>
  <c r="DK97" i="3"/>
  <c r="BK97" i="3"/>
  <c r="DY97" i="3"/>
  <c r="BU97" i="3"/>
  <c r="BE97" i="3"/>
  <c r="CA97" i="3"/>
  <c r="CA98" i="3" s="1"/>
  <c r="CJ97" i="3"/>
  <c r="CJ98" i="3" s="1"/>
  <c r="CV97" i="3"/>
  <c r="BW97" i="3"/>
  <c r="BM97" i="3"/>
  <c r="BM98" i="3" s="1"/>
  <c r="BC105" i="3"/>
  <c r="BS97" i="3"/>
  <c r="BO97" i="3"/>
  <c r="BC98" i="3"/>
  <c r="BT103" i="3"/>
  <c r="CL104" i="3"/>
  <c r="DK22" i="3"/>
  <c r="BS22" i="3"/>
  <c r="CC22" i="3"/>
  <c r="CA22" i="3"/>
  <c r="BK22" i="3"/>
  <c r="BE22" i="3"/>
  <c r="BG22" i="3" s="1"/>
  <c r="CF22" i="3"/>
  <c r="BM22" i="3"/>
  <c r="CR22" i="3"/>
  <c r="BQ22" i="3"/>
  <c r="CV22" i="3"/>
  <c r="DY22" i="3"/>
  <c r="BY22" i="3"/>
  <c r="BW22" i="3"/>
  <c r="CN22" i="3"/>
  <c r="CJ22" i="3"/>
  <c r="BO22" i="3"/>
  <c r="BU22" i="3"/>
  <c r="CN60" i="3"/>
  <c r="BQ60" i="3"/>
  <c r="BY60" i="3"/>
  <c r="BW60" i="3"/>
  <c r="CR60" i="3"/>
  <c r="CF60" i="3"/>
  <c r="DK60" i="3"/>
  <c r="BM60" i="3"/>
  <c r="BU60" i="3"/>
  <c r="CJ60" i="3"/>
  <c r="CC60" i="3"/>
  <c r="BE60" i="3"/>
  <c r="BG60" i="3" s="1"/>
  <c r="BO60" i="3"/>
  <c r="CV60" i="3"/>
  <c r="CA60" i="3"/>
  <c r="BS60" i="3"/>
  <c r="BK60" i="3"/>
  <c r="DY60" i="3"/>
  <c r="BM54" i="3"/>
  <c r="CN54" i="3"/>
  <c r="BO54" i="3"/>
  <c r="CC54" i="3"/>
  <c r="BY54" i="3"/>
  <c r="CR54" i="3"/>
  <c r="BW54" i="3"/>
  <c r="BU54" i="3"/>
  <c r="DK54" i="3"/>
  <c r="DY54" i="3"/>
  <c r="BE54" i="3"/>
  <c r="BG54" i="3" s="1"/>
  <c r="BQ54" i="3"/>
  <c r="CF54" i="3"/>
  <c r="CA54" i="3"/>
  <c r="BK54" i="3"/>
  <c r="CV54" i="3"/>
  <c r="BS54" i="3"/>
  <c r="CJ54" i="3"/>
  <c r="BP105" i="3"/>
  <c r="BW21" i="3"/>
  <c r="CC21" i="3"/>
  <c r="BQ21" i="3"/>
  <c r="CF21" i="3"/>
  <c r="CR21" i="3"/>
  <c r="DY21" i="3"/>
  <c r="BS21" i="3"/>
  <c r="BM21" i="3"/>
  <c r="BY21" i="3"/>
  <c r="BK21" i="3"/>
  <c r="CJ21" i="3"/>
  <c r="BO21" i="3"/>
  <c r="BU21" i="3"/>
  <c r="CV21" i="3"/>
  <c r="CN21" i="3"/>
  <c r="BE21" i="3"/>
  <c r="BG21" i="3" s="1"/>
  <c r="CA21" i="3"/>
  <c r="DK21" i="3"/>
  <c r="CP103" i="3"/>
  <c r="BS42" i="3"/>
  <c r="BE42" i="3"/>
  <c r="BG42" i="3" s="1"/>
  <c r="BQ42" i="3"/>
  <c r="CN42" i="3"/>
  <c r="CA42" i="3"/>
  <c r="CR42" i="3"/>
  <c r="BY42" i="3"/>
  <c r="DK42" i="3"/>
  <c r="CV42" i="3"/>
  <c r="CC42" i="3"/>
  <c r="BK42" i="3"/>
  <c r="CF42" i="3"/>
  <c r="BO42" i="3"/>
  <c r="BU42" i="3"/>
  <c r="BM42" i="3"/>
  <c r="DY42" i="3"/>
  <c r="CJ42" i="3"/>
  <c r="BW42" i="3"/>
  <c r="BT104" i="3"/>
  <c r="BZ100" i="3"/>
  <c r="DY44" i="3"/>
  <c r="BS44" i="3"/>
  <c r="BY44" i="3"/>
  <c r="BM44" i="3"/>
  <c r="CA44" i="3"/>
  <c r="BQ44" i="3"/>
  <c r="BO44" i="3"/>
  <c r="CJ44" i="3"/>
  <c r="BE44" i="3"/>
  <c r="BG44" i="3" s="1"/>
  <c r="BW44" i="3"/>
  <c r="DK44" i="3"/>
  <c r="BK44" i="3"/>
  <c r="CR44" i="3"/>
  <c r="BU44" i="3"/>
  <c r="CN44" i="3"/>
  <c r="CV44" i="3"/>
  <c r="CC44" i="3"/>
  <c r="CF44" i="3"/>
  <c r="DE14" i="3"/>
  <c r="CW14" i="3"/>
  <c r="DO14" i="3"/>
  <c r="CK14" i="3"/>
  <c r="DH14" i="3"/>
  <c r="DT14" i="3"/>
  <c r="DR14" i="3"/>
  <c r="DB14" i="3"/>
  <c r="DZ14" i="3"/>
  <c r="DL14" i="3"/>
  <c r="CO14" i="3"/>
  <c r="CS14" i="3"/>
  <c r="CG14" i="3"/>
  <c r="CZ14" i="3"/>
  <c r="BD101" i="3"/>
  <c r="BE14" i="3"/>
  <c r="BD82" i="3"/>
  <c r="DF104" i="3"/>
  <c r="BQ48" i="3"/>
  <c r="BO48" i="3"/>
  <c r="CF48" i="3"/>
  <c r="CJ48" i="3"/>
  <c r="BU48" i="3"/>
  <c r="CR48" i="3"/>
  <c r="CV48" i="3"/>
  <c r="CC48" i="3"/>
  <c r="BY48" i="3"/>
  <c r="CN48" i="3"/>
  <c r="BW48" i="3"/>
  <c r="CA48" i="3"/>
  <c r="BM48" i="3"/>
  <c r="BK48" i="3"/>
  <c r="DY48" i="3"/>
  <c r="DK48" i="3"/>
  <c r="BS48" i="3"/>
  <c r="BE48" i="3"/>
  <c r="BG48" i="3" s="1"/>
  <c r="BK98" i="3" l="1"/>
  <c r="DJ103" i="3"/>
  <c r="BX101" i="3"/>
  <c r="BP101" i="3"/>
  <c r="CD103" i="3"/>
  <c r="D112" i="3"/>
  <c r="BI110" i="3"/>
  <c r="BI112" i="3" s="1"/>
  <c r="CD104" i="3"/>
  <c r="BT101" i="3"/>
  <c r="DG101" i="3"/>
  <c r="BZ104" i="3"/>
  <c r="CD101" i="3"/>
  <c r="DS101" i="3"/>
  <c r="DP101" i="3"/>
  <c r="BK8" i="3"/>
  <c r="CK8" i="3"/>
  <c r="DR8" i="3"/>
  <c r="DZ8" i="3"/>
  <c r="DT98" i="3"/>
  <c r="DT105" i="3" s="1"/>
  <c r="CS100" i="3"/>
  <c r="DC101" i="3"/>
  <c r="DE95" i="3"/>
  <c r="CO8" i="3"/>
  <c r="CS105" i="3"/>
  <c r="CY104" i="3"/>
  <c r="CX101" i="3"/>
  <c r="DB8" i="3"/>
  <c r="DO98" i="3"/>
  <c r="DE98" i="3"/>
  <c r="DB95" i="3"/>
  <c r="CX105" i="3"/>
  <c r="CT101" i="3"/>
  <c r="CZ8" i="3"/>
  <c r="DH8" i="3"/>
  <c r="DE8" i="3"/>
  <c r="CS95" i="3"/>
  <c r="CG98" i="3"/>
  <c r="CU103" i="3"/>
  <c r="CG100" i="3"/>
  <c r="DL8" i="3"/>
  <c r="BW98" i="3"/>
  <c r="CR98" i="3"/>
  <c r="DK8" i="3"/>
  <c r="CN8" i="3"/>
  <c r="CX100" i="3"/>
  <c r="BU98" i="3"/>
  <c r="CB101" i="3"/>
  <c r="CX103" i="3"/>
  <c r="DD101" i="3"/>
  <c r="DH98" i="3"/>
  <c r="BV101" i="3"/>
  <c r="DO100" i="3"/>
  <c r="CO95" i="3"/>
  <c r="BS98" i="3"/>
  <c r="BQ98" i="3"/>
  <c r="BQ105" i="3" s="1"/>
  <c r="DZ95" i="3"/>
  <c r="DN101" i="3"/>
  <c r="CW8" i="3"/>
  <c r="CU100" i="3"/>
  <c r="DL98" i="3"/>
  <c r="DF101" i="3"/>
  <c r="CF8" i="3"/>
  <c r="DG104" i="3"/>
  <c r="DR98" i="3"/>
  <c r="BO98" i="3"/>
  <c r="DK98" i="3"/>
  <c r="CV8" i="3"/>
  <c r="BS8" i="3"/>
  <c r="BQ8" i="3"/>
  <c r="BQ100" i="3" s="1"/>
  <c r="CN98" i="3"/>
  <c r="CR8" i="3"/>
  <c r="CR100" i="3" s="1"/>
  <c r="BM8" i="3"/>
  <c r="CJ8" i="3"/>
  <c r="BO8" i="3"/>
  <c r="BW8" i="3"/>
  <c r="CC8" i="3"/>
  <c r="CC100" i="3" s="1"/>
  <c r="DY98" i="3"/>
  <c r="DY105" i="3" s="1"/>
  <c r="BY8" i="3"/>
  <c r="BY100" i="3" s="1"/>
  <c r="CF98" i="3"/>
  <c r="BC103" i="3"/>
  <c r="CA8" i="3"/>
  <c r="DY8" i="3"/>
  <c r="DY100" i="3" s="1"/>
  <c r="BK100" i="3"/>
  <c r="CM101" i="3"/>
  <c r="DM101" i="3"/>
  <c r="CG91" i="3"/>
  <c r="CU104" i="3"/>
  <c r="CZ98" i="3"/>
  <c r="CI101" i="3"/>
  <c r="BL101" i="3"/>
  <c r="DR95" i="3"/>
  <c r="CW98" i="3"/>
  <c r="DZ98" i="3"/>
  <c r="DL95" i="3"/>
  <c r="CV98" i="3"/>
  <c r="CH101" i="3"/>
  <c r="BN101" i="3"/>
  <c r="CO98" i="3"/>
  <c r="BU100" i="3"/>
  <c r="DB91" i="3"/>
  <c r="CG95" i="3"/>
  <c r="DI101" i="3"/>
  <c r="CZ95" i="3"/>
  <c r="DO95" i="3"/>
  <c r="CX104" i="3"/>
  <c r="DB98" i="3"/>
  <c r="CL101" i="3"/>
  <c r="DA101" i="3"/>
  <c r="DH95" i="3"/>
  <c r="CK95" i="3"/>
  <c r="CH103" i="3"/>
  <c r="CK98" i="3"/>
  <c r="DT95" i="3"/>
  <c r="DT104" i="3" s="1"/>
  <c r="CW95" i="3"/>
  <c r="G9" i="14"/>
  <c r="CS91" i="3"/>
  <c r="DL82" i="3"/>
  <c r="CW82" i="3"/>
  <c r="DB82" i="3"/>
  <c r="BD106" i="3"/>
  <c r="BD112" i="3" s="1"/>
  <c r="CS82" i="3"/>
  <c r="CK82" i="3"/>
  <c r="BC8" i="3"/>
  <c r="BC100" i="3"/>
  <c r="CO91" i="3"/>
  <c r="DR91" i="3"/>
  <c r="CO82" i="3"/>
  <c r="DO82" i="3"/>
  <c r="BY93" i="3"/>
  <c r="BY95" i="3" s="1"/>
  <c r="BE93" i="3"/>
  <c r="BG93" i="3" s="1"/>
  <c r="BM93" i="3"/>
  <c r="BM95" i="3" s="1"/>
  <c r="CN93" i="3"/>
  <c r="CN95" i="3" s="1"/>
  <c r="CV93" i="3"/>
  <c r="CV95" i="3" s="1"/>
  <c r="BW93" i="3"/>
  <c r="BW95" i="3" s="1"/>
  <c r="BO93" i="3"/>
  <c r="BO95" i="3" s="1"/>
  <c r="BQ93" i="3"/>
  <c r="BQ95" i="3" s="1"/>
  <c r="BQ104" i="3" s="1"/>
  <c r="BU93" i="3"/>
  <c r="BU95" i="3" s="1"/>
  <c r="CC93" i="3"/>
  <c r="CC95" i="3" s="1"/>
  <c r="CC104" i="3" s="1"/>
  <c r="BC95" i="3"/>
  <c r="CF93" i="3"/>
  <c r="CF95" i="3" s="1"/>
  <c r="CR93" i="3"/>
  <c r="CR95" i="3" s="1"/>
  <c r="DY93" i="3"/>
  <c r="DY95" i="3" s="1"/>
  <c r="DY104" i="3" s="1"/>
  <c r="DK93" i="3"/>
  <c r="DK95" i="3" s="1"/>
  <c r="CJ93" i="3"/>
  <c r="CJ95" i="3" s="1"/>
  <c r="BS93" i="3"/>
  <c r="BS95" i="3" s="1"/>
  <c r="BC104" i="3"/>
  <c r="CA93" i="3"/>
  <c r="CA95" i="3" s="1"/>
  <c r="BK93" i="3"/>
  <c r="BK95" i="3" s="1"/>
  <c r="BG83" i="3"/>
  <c r="BG84" i="3" s="1"/>
  <c r="BG102" i="3" s="1"/>
  <c r="BE84" i="3"/>
  <c r="BE102" i="3" s="1"/>
  <c r="CZ91" i="3"/>
  <c r="CK91" i="3"/>
  <c r="DZ82" i="3"/>
  <c r="DE82" i="3"/>
  <c r="BC101" i="3"/>
  <c r="CY101" i="3"/>
  <c r="DE91" i="3"/>
  <c r="BE88" i="3"/>
  <c r="BG88" i="3" s="1"/>
  <c r="CJ88" i="3"/>
  <c r="CJ91" i="3" s="1"/>
  <c r="BM88" i="3"/>
  <c r="BM91" i="3" s="1"/>
  <c r="BS88" i="3"/>
  <c r="BS91" i="3" s="1"/>
  <c r="CR88" i="3"/>
  <c r="CR91" i="3" s="1"/>
  <c r="BU88" i="3"/>
  <c r="BU91" i="3" s="1"/>
  <c r="BO88" i="3"/>
  <c r="BO91" i="3" s="1"/>
  <c r="CC88" i="3"/>
  <c r="CC91" i="3" s="1"/>
  <c r="DY88" i="3"/>
  <c r="DY91" i="3" s="1"/>
  <c r="DY103" i="3" s="1"/>
  <c r="BY88" i="3"/>
  <c r="BY91" i="3" s="1"/>
  <c r="BW88" i="3"/>
  <c r="BW91" i="3" s="1"/>
  <c r="CF88" i="3"/>
  <c r="CF91" i="3" s="1"/>
  <c r="CN88" i="3"/>
  <c r="CN91" i="3" s="1"/>
  <c r="BQ88" i="3"/>
  <c r="BQ91" i="3" s="1"/>
  <c r="BQ103" i="3" s="1"/>
  <c r="CA88" i="3"/>
  <c r="CA91" i="3" s="1"/>
  <c r="DK88" i="3"/>
  <c r="DK91" i="3" s="1"/>
  <c r="BK88" i="3"/>
  <c r="BK91" i="3" s="1"/>
  <c r="CV88" i="3"/>
  <c r="CV91" i="3" s="1"/>
  <c r="CP101" i="3"/>
  <c r="DO91" i="3"/>
  <c r="CU101" i="3"/>
  <c r="DT91" i="3"/>
  <c r="DT103" i="3" s="1"/>
  <c r="DZ91" i="3"/>
  <c r="DR82" i="3"/>
  <c r="CZ82" i="3"/>
  <c r="DT82" i="3"/>
  <c r="DT101" i="3" s="1"/>
  <c r="DH91" i="3"/>
  <c r="CQ101" i="3"/>
  <c r="CU105" i="3"/>
  <c r="CG82" i="3"/>
  <c r="DH82" i="3"/>
  <c r="U106" i="3"/>
  <c r="U112" i="3" s="1"/>
  <c r="DL91" i="3"/>
  <c r="CW91" i="3"/>
  <c r="BW105" i="3"/>
  <c r="CJ16" i="3"/>
  <c r="CJ82" i="3" s="1"/>
  <c r="CC16" i="3"/>
  <c r="CC82" i="3" s="1"/>
  <c r="CF16" i="3"/>
  <c r="CF82" i="3" s="1"/>
  <c r="DY16" i="3"/>
  <c r="DY82" i="3" s="1"/>
  <c r="DY101" i="3" s="1"/>
  <c r="BU16" i="3"/>
  <c r="BU82" i="3" s="1"/>
  <c r="BW16" i="3"/>
  <c r="BW82" i="3" s="1"/>
  <c r="CN16" i="3"/>
  <c r="CN82" i="3" s="1"/>
  <c r="BO16" i="3"/>
  <c r="BO82" i="3" s="1"/>
  <c r="BS16" i="3"/>
  <c r="BS82" i="3" s="1"/>
  <c r="BM16" i="3"/>
  <c r="BM82" i="3" s="1"/>
  <c r="DK16" i="3"/>
  <c r="DK82" i="3" s="1"/>
  <c r="CR16" i="3"/>
  <c r="CR82" i="3" s="1"/>
  <c r="BE16" i="3"/>
  <c r="BG16" i="3" s="1"/>
  <c r="CV16" i="3"/>
  <c r="CV82" i="3" s="1"/>
  <c r="BQ16" i="3"/>
  <c r="BQ82" i="3" s="1"/>
  <c r="BQ101" i="3" s="1"/>
  <c r="BK16" i="3"/>
  <c r="BK82" i="3" s="1"/>
  <c r="CA16" i="3"/>
  <c r="CA82" i="3" s="1"/>
  <c r="BY16" i="3"/>
  <c r="BY82" i="3" s="1"/>
  <c r="BM105" i="3"/>
  <c r="BK105" i="3"/>
  <c r="BG14" i="3"/>
  <c r="BY105" i="3"/>
  <c r="CJ105" i="3"/>
  <c r="BG94" i="3"/>
  <c r="BZ101" i="3"/>
  <c r="BG86" i="3"/>
  <c r="CA105" i="3"/>
  <c r="CC105" i="3"/>
  <c r="BG97" i="3"/>
  <c r="BE105" i="3"/>
  <c r="BE98" i="3"/>
  <c r="CN105" i="3"/>
  <c r="CE101" i="3"/>
  <c r="BU105" i="3"/>
  <c r="DZ104" i="3" l="1"/>
  <c r="DZ101" i="3"/>
  <c r="DZ105" i="3"/>
  <c r="DZ103" i="3"/>
  <c r="DZ100" i="3"/>
  <c r="DR100" i="3"/>
  <c r="CK100" i="3"/>
  <c r="DO105" i="3"/>
  <c r="DE104" i="3"/>
  <c r="DK105" i="3"/>
  <c r="DB101" i="3"/>
  <c r="CO100" i="3"/>
  <c r="DB104" i="3"/>
  <c r="DE105" i="3"/>
  <c r="DL101" i="3"/>
  <c r="CO105" i="3"/>
  <c r="CS104" i="3"/>
  <c r="DB100" i="3"/>
  <c r="CZ100" i="3"/>
  <c r="CR105" i="3"/>
  <c r="CG105" i="3"/>
  <c r="DH100" i="3"/>
  <c r="DL100" i="3"/>
  <c r="DH105" i="3"/>
  <c r="CN100" i="3"/>
  <c r="DE100" i="3"/>
  <c r="CZ104" i="3"/>
  <c r="CW105" i="3"/>
  <c r="DR105" i="3"/>
  <c r="CW101" i="3"/>
  <c r="DK100" i="3"/>
  <c r="BS105" i="3"/>
  <c r="CW100" i="3"/>
  <c r="BO105" i="3"/>
  <c r="CF100" i="3"/>
  <c r="CZ105" i="3"/>
  <c r="CS101" i="3"/>
  <c r="DL105" i="3"/>
  <c r="CO104" i="3"/>
  <c r="DR104" i="3"/>
  <c r="CK105" i="3"/>
  <c r="DH101" i="3"/>
  <c r="CG104" i="3"/>
  <c r="CG103" i="3"/>
  <c r="DL104" i="3"/>
  <c r="DH104" i="3"/>
  <c r="CS103" i="3"/>
  <c r="DB103" i="3"/>
  <c r="CK104" i="3"/>
  <c r="BE103" i="3"/>
  <c r="BE91" i="3"/>
  <c r="CV100" i="3"/>
  <c r="CV105" i="3"/>
  <c r="BS100" i="3"/>
  <c r="BE104" i="3"/>
  <c r="BE95" i="3"/>
  <c r="CF105" i="3"/>
  <c r="BO100" i="3"/>
  <c r="BM100" i="3"/>
  <c r="BW100" i="3"/>
  <c r="CJ100" i="3"/>
  <c r="BS104" i="3"/>
  <c r="BK103" i="3"/>
  <c r="BW104" i="3"/>
  <c r="CR104" i="3"/>
  <c r="BE101" i="3"/>
  <c r="CA100" i="3"/>
  <c r="BC106" i="3"/>
  <c r="BC112" i="3" s="1"/>
  <c r="BY104" i="3"/>
  <c r="DB105" i="3"/>
  <c r="CK101" i="3"/>
  <c r="CV103" i="3"/>
  <c r="CZ101" i="3"/>
  <c r="BU104" i="3"/>
  <c r="DR101" i="3"/>
  <c r="CJ104" i="3"/>
  <c r="CG101" i="3"/>
  <c r="BO104" i="3"/>
  <c r="CO101" i="3"/>
  <c r="BK104" i="3"/>
  <c r="CF104" i="3"/>
  <c r="DO104" i="3"/>
  <c r="CW104" i="3"/>
  <c r="DK104" i="3"/>
  <c r="CR103" i="3"/>
  <c r="DO101" i="3"/>
  <c r="BW103" i="3"/>
  <c r="CN103" i="3"/>
  <c r="BO103" i="3"/>
  <c r="BS103" i="3"/>
  <c r="BU103" i="3"/>
  <c r="BM103" i="3"/>
  <c r="CV104" i="3"/>
  <c r="BY103" i="3"/>
  <c r="CJ103" i="3"/>
  <c r="CN104" i="3"/>
  <c r="CA104" i="3"/>
  <c r="BM104" i="3"/>
  <c r="CA103" i="3"/>
  <c r="DK103" i="3"/>
  <c r="CK103" i="3"/>
  <c r="CF103" i="3"/>
  <c r="CZ103" i="3"/>
  <c r="CO103" i="3"/>
  <c r="CC103" i="3"/>
  <c r="DH103" i="3"/>
  <c r="BE8" i="3"/>
  <c r="BE100" i="3"/>
  <c r="DO103" i="3"/>
  <c r="DE101" i="3"/>
  <c r="CW103" i="3"/>
  <c r="DL103" i="3"/>
  <c r="DE103" i="3"/>
  <c r="DR103" i="3"/>
  <c r="BU101" i="3"/>
  <c r="CN101" i="3"/>
  <c r="CV101" i="3"/>
  <c r="BW101" i="3"/>
  <c r="CF101" i="3"/>
  <c r="BY101" i="3"/>
  <c r="BG95" i="3"/>
  <c r="BG104" i="3"/>
  <c r="BG91" i="3"/>
  <c r="BG103" i="3"/>
  <c r="BG101" i="3"/>
  <c r="BG82" i="3"/>
  <c r="BG105" i="3"/>
  <c r="BG98" i="3"/>
  <c r="BM101" i="3"/>
  <c r="CR101" i="3"/>
  <c r="BO101" i="3"/>
  <c r="BE82" i="3"/>
  <c r="DK101" i="3"/>
  <c r="CC101" i="3"/>
  <c r="BS101" i="3"/>
  <c r="CJ101" i="3"/>
  <c r="CA101" i="3"/>
  <c r="BK101" i="3"/>
  <c r="BE106" i="3" l="1"/>
  <c r="BE112" i="3" s="1"/>
  <c r="BG100" i="3"/>
  <c r="BG106" i="3" s="1"/>
  <c r="BG112" i="3" s="1"/>
  <c r="BG8" i="3"/>
</calcChain>
</file>

<file path=xl/sharedStrings.xml><?xml version="1.0" encoding="utf-8"?>
<sst xmlns="http://schemas.openxmlformats.org/spreadsheetml/2006/main" count="2379" uniqueCount="548">
  <si>
    <t xml:space="preserve">                  Please select a School</t>
  </si>
  <si>
    <t>Area</t>
  </si>
  <si>
    <t>Key Ratios</t>
  </si>
  <si>
    <t>School Data</t>
  </si>
  <si>
    <t>Nursery</t>
  </si>
  <si>
    <t>Primary</t>
  </si>
  <si>
    <t>Secondary</t>
  </si>
  <si>
    <t>Special</t>
  </si>
  <si>
    <t>Income</t>
  </si>
  <si>
    <t>As % of Total Revenue Income</t>
  </si>
  <si>
    <t>Income per pupil</t>
  </si>
  <si>
    <t>Expenditure</t>
  </si>
  <si>
    <t>E01,E02 &amp; E26 - Teaching Staff</t>
  </si>
  <si>
    <t>As % of Final Budget Share</t>
  </si>
  <si>
    <t>As % of Total Rev. Expenditure</t>
  </si>
  <si>
    <t>Cost / Expenditure per pupil</t>
  </si>
  <si>
    <t>E03 - Education Support Staff</t>
  </si>
  <si>
    <t>E04 - Premises Staff</t>
  </si>
  <si>
    <t>E05 - Admin &amp; Clerical Staff</t>
  </si>
  <si>
    <t>Total Employee Costs</t>
  </si>
  <si>
    <t>E12 - Building Maintenance</t>
  </si>
  <si>
    <t>E15 - Water</t>
  </si>
  <si>
    <t>E16 - Energy</t>
  </si>
  <si>
    <t>E18 - Other Occupation Costs</t>
  </si>
  <si>
    <t>E19 - Learning Resources</t>
  </si>
  <si>
    <t>E22 - Administrative Supplies</t>
  </si>
  <si>
    <t>Please choose a school</t>
  </si>
  <si>
    <t>Brookhill Nursery School</t>
  </si>
  <si>
    <t>Hampden Way Nursery School</t>
  </si>
  <si>
    <t>Moss Hall Nursery School</t>
  </si>
  <si>
    <t>St Margaret's Nursery School</t>
  </si>
  <si>
    <t xml:space="preserve">Akiva </t>
  </si>
  <si>
    <t>All Saints' CE School (N20)</t>
  </si>
  <si>
    <t>All Saints' CE School (NW2)</t>
  </si>
  <si>
    <t>Annunciation RC Infant School</t>
  </si>
  <si>
    <t>Annunciation RC Junior School</t>
  </si>
  <si>
    <t>Barnfield School</t>
  </si>
  <si>
    <t>Beis Yaakov</t>
  </si>
  <si>
    <t>Bell Lane School</t>
  </si>
  <si>
    <t>Blessed Dominic RC School</t>
  </si>
  <si>
    <t>Brookland Infant School</t>
  </si>
  <si>
    <t>Brookland Junior School</t>
  </si>
  <si>
    <t>Brunswick Park School</t>
  </si>
  <si>
    <t>Chalgrove School</t>
  </si>
  <si>
    <t>Childs Hill School</t>
  </si>
  <si>
    <t>Christ Church CE School</t>
  </si>
  <si>
    <t>Church Hill School</t>
  </si>
  <si>
    <t>Claremont Primary</t>
  </si>
  <si>
    <t>Colindale School</t>
  </si>
  <si>
    <t>Coppetts Wood School</t>
  </si>
  <si>
    <t>Courtland School</t>
  </si>
  <si>
    <t>Cromer Road School</t>
  </si>
  <si>
    <t>Danegrove School</t>
  </si>
  <si>
    <t>Deansbrook Infant School</t>
  </si>
  <si>
    <t>Dollis Infant School</t>
  </si>
  <si>
    <t>Dollis Junior School</t>
  </si>
  <si>
    <t>Edgware Infant School</t>
  </si>
  <si>
    <t>Edgware Junior School</t>
  </si>
  <si>
    <t>Fairway School</t>
  </si>
  <si>
    <t>Foulds School</t>
  </si>
  <si>
    <t>Frith Manor School</t>
  </si>
  <si>
    <t>Garden Suburb Infant School</t>
  </si>
  <si>
    <t>Garden Suburb Junior School</t>
  </si>
  <si>
    <t>Goldbeaters School</t>
  </si>
  <si>
    <t>Hasmonean Primary School</t>
  </si>
  <si>
    <t>Hollickwood School</t>
  </si>
  <si>
    <t>Holly Park School</t>
  </si>
  <si>
    <t>Holy Trinity CE School</t>
  </si>
  <si>
    <t>Livingstone School</t>
  </si>
  <si>
    <t xml:space="preserve">Manorside School </t>
  </si>
  <si>
    <t xml:space="preserve">Martin Primary </t>
  </si>
  <si>
    <t>Mathilda Marks Kennedy School</t>
  </si>
  <si>
    <t>Menorah Foundation School</t>
  </si>
  <si>
    <t>Menorah Primary School</t>
  </si>
  <si>
    <t>Monken Hadley CE School</t>
  </si>
  <si>
    <t>Monkfrith School</t>
  </si>
  <si>
    <t>Moss Hall Infant School</t>
  </si>
  <si>
    <t>Moss Hall Junior School</t>
  </si>
  <si>
    <t>Northside School</t>
  </si>
  <si>
    <t>Orion School</t>
  </si>
  <si>
    <t>Osidge School</t>
  </si>
  <si>
    <t>Our Lady of Lourdes RC School</t>
  </si>
  <si>
    <t>Pardes House School</t>
  </si>
  <si>
    <t>Queenswell Infant School</t>
  </si>
  <si>
    <t>Queenswell Junior School</t>
  </si>
  <si>
    <t>Rosh Pinah School</t>
  </si>
  <si>
    <t>Sacred Heart RC School</t>
  </si>
  <si>
    <t>St. Agnes' RC School</t>
  </si>
  <si>
    <t>St. Andrew's CE School</t>
  </si>
  <si>
    <t>St. Catherine's RC School</t>
  </si>
  <si>
    <t>St. John's CE School (N11)</t>
  </si>
  <si>
    <t>St. John's CE School (N20)</t>
  </si>
  <si>
    <t>St. Joseph's RC Infant School</t>
  </si>
  <si>
    <t>St. Joseph's RC Junior School</t>
  </si>
  <si>
    <t>St. Mary's &amp; St. John's (NW4) Primary</t>
  </si>
  <si>
    <t>St. Mary's CE School (EN4)</t>
  </si>
  <si>
    <t>St. Mary's CE School (N3)</t>
  </si>
  <si>
    <t>St. Paul's CE School (N11)</t>
  </si>
  <si>
    <t>St. Paul's CE School (NW7)</t>
  </si>
  <si>
    <t>St. Theresa's RC School</t>
  </si>
  <si>
    <t>St. Vincent's RC School</t>
  </si>
  <si>
    <t xml:space="preserve">Summerside School </t>
  </si>
  <si>
    <t>Sunnyfields School</t>
  </si>
  <si>
    <t>Trent CE School</t>
  </si>
  <si>
    <t>Tudor School</t>
  </si>
  <si>
    <t>Underhill Infant School</t>
  </si>
  <si>
    <t>Underhill Junior School</t>
  </si>
  <si>
    <t>Wessex Gardens School</t>
  </si>
  <si>
    <t>Whitings Hill School</t>
  </si>
  <si>
    <t>Woodcroft Primary School</t>
  </si>
  <si>
    <t>Woodridge School</t>
  </si>
  <si>
    <t>Bishop Douglass RC High</t>
  </si>
  <si>
    <t>Finchley Catholic High School</t>
  </si>
  <si>
    <t>Friern Barnet School</t>
  </si>
  <si>
    <t>St James' Catholic High School</t>
  </si>
  <si>
    <t>St Mary's CE High School</t>
  </si>
  <si>
    <t>St. Michael's Catholic Grammar School</t>
  </si>
  <si>
    <t>Mapledown School</t>
  </si>
  <si>
    <t>Northway School</t>
  </si>
  <si>
    <t>Oak Lodge School</t>
  </si>
  <si>
    <t>Oakleigh School</t>
  </si>
  <si>
    <t>School Name</t>
  </si>
  <si>
    <t>JCOSS</t>
  </si>
  <si>
    <t>I13 Donations / Voluntary Funds</t>
  </si>
  <si>
    <t>Free School Meals</t>
  </si>
  <si>
    <t>Cost Centre</t>
  </si>
  <si>
    <t>School</t>
  </si>
  <si>
    <t>I01 - Funds Del. By LA</t>
  </si>
  <si>
    <t>I02 - Sixth form funding</t>
  </si>
  <si>
    <t>I03 - SEN Funding</t>
  </si>
  <si>
    <t>I04 - Ethnic Minority</t>
  </si>
  <si>
    <t xml:space="preserve">I06 - Other Gov. Grants </t>
  </si>
  <si>
    <t xml:space="preserve">I07 - Other Grants &amp; Payments </t>
  </si>
  <si>
    <t>I09 - Income from Catering</t>
  </si>
  <si>
    <t>I10 - Supply teacher ins claims</t>
  </si>
  <si>
    <t>I11 - receipts from other ins claims</t>
  </si>
  <si>
    <t xml:space="preserve">I12 - Income from Contributions </t>
  </si>
  <si>
    <t xml:space="preserve">I13 - Donations </t>
  </si>
  <si>
    <t xml:space="preserve">I15 - Pupil Focussed Extended School Funding and/or Grants </t>
  </si>
  <si>
    <t xml:space="preserve">I16 - Community Focussed Extended School Funding and/or Grants </t>
  </si>
  <si>
    <t>I17 - Community Focussed Extended School Facilities Income</t>
  </si>
  <si>
    <t xml:space="preserve">E01 - Teaching Staff </t>
  </si>
  <si>
    <t>E02 - Supply Staff</t>
  </si>
  <si>
    <t xml:space="preserve">E03 - Educ Support Staff </t>
  </si>
  <si>
    <t xml:space="preserve">E04 - Premises Staff </t>
  </si>
  <si>
    <t xml:space="preserve">E05 -Admin &amp; Clerical </t>
  </si>
  <si>
    <t>E06 - Catering Staff</t>
  </si>
  <si>
    <t xml:space="preserve">E07 - Cost of Other Staff </t>
  </si>
  <si>
    <t xml:space="preserve">E08 - Indirect Employee Exp </t>
  </si>
  <si>
    <t xml:space="preserve">E09 - Staff Dev &amp; Training </t>
  </si>
  <si>
    <t xml:space="preserve">E10 - Supply Teacher Ins </t>
  </si>
  <si>
    <t xml:space="preserve">E11  - Staff Related Ins </t>
  </si>
  <si>
    <t>E12 - Building Maint &amp; Imp</t>
  </si>
  <si>
    <t xml:space="preserve">E13 - Grounds Maint &amp; Impt </t>
  </si>
  <si>
    <t xml:space="preserve">E14 - Contract Cleaning </t>
  </si>
  <si>
    <t xml:space="preserve">E16 - Energy </t>
  </si>
  <si>
    <t xml:space="preserve">E17 - Rates </t>
  </si>
  <si>
    <t xml:space="preserve">E18 - Other Occup. Costs </t>
  </si>
  <si>
    <t xml:space="preserve">E19 - Learning Resources </t>
  </si>
  <si>
    <t>E20 - ICT Learning Resources</t>
  </si>
  <si>
    <t xml:space="preserve">E21 - Exam fees </t>
  </si>
  <si>
    <t>E22 - Admin Supplies</t>
  </si>
  <si>
    <t>E23 - Other Ins Premiums</t>
  </si>
  <si>
    <t xml:space="preserve">E24 - Special Facilities </t>
  </si>
  <si>
    <t xml:space="preserve">E25 - Catering Supplies </t>
  </si>
  <si>
    <t>E26 - Agency Supply Staff</t>
  </si>
  <si>
    <t xml:space="preserve">E27 - Bought in Proff. Services (Curric) </t>
  </si>
  <si>
    <t xml:space="preserve">E29 - Loan Interest </t>
  </si>
  <si>
    <t xml:space="preserve">E30 - RCCO </t>
  </si>
  <si>
    <t xml:space="preserve">E31 - Community Focussed Extended School Staff  </t>
  </si>
  <si>
    <t xml:space="preserve">E32 - Community Focussed Extended School Costs </t>
  </si>
  <si>
    <t>Total Revenue Income</t>
  </si>
  <si>
    <t>Total Revenue Expenditure</t>
  </si>
  <si>
    <t>Net in Year Rev Inc / (Exp)</t>
  </si>
  <si>
    <t>Income Per Pupil</t>
  </si>
  <si>
    <t>As % of Total Rev Expenditure</t>
  </si>
  <si>
    <t>Cost per Pupil</t>
  </si>
  <si>
    <t>As % of in year Revenue Income</t>
  </si>
  <si>
    <t>Cost / Expenditure per Pupil</t>
  </si>
  <si>
    <t>Cost per pupil</t>
  </si>
  <si>
    <t>Expenditure per Pupil</t>
  </si>
  <si>
    <t>N</t>
  </si>
  <si>
    <t>Nursery Sector Average</t>
  </si>
  <si>
    <t>P</t>
  </si>
  <si>
    <t>Primary Sector Average</t>
  </si>
  <si>
    <t>S</t>
  </si>
  <si>
    <t>Secondary Sector Average</t>
  </si>
  <si>
    <t>C</t>
  </si>
  <si>
    <t>Special Sector Average</t>
  </si>
  <si>
    <t>Income Fields</t>
  </si>
  <si>
    <t>Expenditure Fields</t>
  </si>
  <si>
    <t>School Details</t>
  </si>
  <si>
    <t>School Number</t>
  </si>
  <si>
    <t>I01</t>
  </si>
  <si>
    <t>I02</t>
  </si>
  <si>
    <t>I03</t>
  </si>
  <si>
    <t>I04</t>
  </si>
  <si>
    <t>I05</t>
  </si>
  <si>
    <t>I06</t>
  </si>
  <si>
    <t>I07</t>
  </si>
  <si>
    <t>I08</t>
  </si>
  <si>
    <t>I09</t>
  </si>
  <si>
    <t>I10</t>
  </si>
  <si>
    <t>I11</t>
  </si>
  <si>
    <t>I12</t>
  </si>
  <si>
    <t>I13</t>
  </si>
  <si>
    <t>I15</t>
  </si>
  <si>
    <t>I16</t>
  </si>
  <si>
    <t>I17</t>
  </si>
  <si>
    <t>E01</t>
  </si>
  <si>
    <t>E02</t>
  </si>
  <si>
    <t>E03</t>
  </si>
  <si>
    <t>E04</t>
  </si>
  <si>
    <t>E05</t>
  </si>
  <si>
    <t>E06</t>
  </si>
  <si>
    <t>E07</t>
  </si>
  <si>
    <t>E08</t>
  </si>
  <si>
    <t>E09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</si>
  <si>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</si>
  <si>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</si>
  <si>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</si>
  <si>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</si>
  <si>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</si>
  <si>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</si>
  <si>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</si>
  <si>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</si>
  <si>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</si>
  <si>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</si>
  <si>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</si>
  <si>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</si>
  <si>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</si>
  <si>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</si>
  <si>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</si>
  <si>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</si>
  <si>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</si>
  <si>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</si>
  <si>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</si>
  <si>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</si>
  <si>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</si>
  <si>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</si>
  <si>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</si>
  <si>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Akiva</t>
  </si>
  <si>
    <t>Martin Primary</t>
  </si>
  <si>
    <t xml:space="preserve">Excludes Community Focussed Extended Schools Income </t>
  </si>
  <si>
    <t>Excludes Community Focussed Extended Schools Expenditure</t>
  </si>
  <si>
    <t>Income per Pupil</t>
  </si>
  <si>
    <t>I01 - Funds Delegated by LA</t>
  </si>
  <si>
    <t>I06 - Other Gov. Grants</t>
  </si>
  <si>
    <t>I12 Inc. from Contributions</t>
  </si>
  <si>
    <t>Akiva School</t>
  </si>
  <si>
    <t>All Saints' CofE Primary School N20</t>
  </si>
  <si>
    <t>Barnfield Primary School</t>
  </si>
  <si>
    <t>Beis Yaakov Primary School</t>
  </si>
  <si>
    <t>Bell Lane Primary School</t>
  </si>
  <si>
    <t>Brookland Infant and Nursery School</t>
  </si>
  <si>
    <t>Brunswick Park Primary and Nursery School</t>
  </si>
  <si>
    <t>Chalgrove Primary School</t>
  </si>
  <si>
    <t>Christ Church Primary School</t>
  </si>
  <si>
    <t>Colindale Primary School</t>
  </si>
  <si>
    <t>Coppetts Wood Primary School</t>
  </si>
  <si>
    <t>Cromer Road Primary School</t>
  </si>
  <si>
    <t>Danegrove Primary School</t>
  </si>
  <si>
    <t>Frith Manor Primary School</t>
  </si>
  <si>
    <t>Goldbeaters Primary School</t>
  </si>
  <si>
    <t>Hollickwood Primary School</t>
  </si>
  <si>
    <t>Holly Park Primary School</t>
  </si>
  <si>
    <t>Holy Trinity CofE Primary School</t>
  </si>
  <si>
    <t>Manorside Primary School</t>
  </si>
  <si>
    <t>Martin Primary School</t>
  </si>
  <si>
    <t>Mathilda Marks-Kennedy Jewish Primary School</t>
  </si>
  <si>
    <t>Monken Hadley CofE Primary School</t>
  </si>
  <si>
    <t>Monkfrith Primary School</t>
  </si>
  <si>
    <t>Northside Primary School</t>
  </si>
  <si>
    <t>Osidge Primary School</t>
  </si>
  <si>
    <t>Pardes House Primary School</t>
  </si>
  <si>
    <t>Rosh Pinah Primary School</t>
  </si>
  <si>
    <t>Sacred Heart Roman Catholic Primary School</t>
  </si>
  <si>
    <t>St Catherine's RC School</t>
  </si>
  <si>
    <t>St Mary's CofE Primary School, East Barnet</t>
  </si>
  <si>
    <t>St Paul's CofE Primary School N11</t>
  </si>
  <si>
    <t>Sunnyfields Primary School</t>
  </si>
  <si>
    <t>The Annunciation RC Junior School</t>
  </si>
  <si>
    <t>The Orion Primary School</t>
  </si>
  <si>
    <t>Trent CofE Primary School</t>
  </si>
  <si>
    <t>Tudor Primary School</t>
  </si>
  <si>
    <t>Wessex Gardens Primary School</t>
  </si>
  <si>
    <t>Whitings Hill Primary School</t>
  </si>
  <si>
    <t>Woodridge Primary School</t>
  </si>
  <si>
    <t>St Michael's Catholic Grammar School</t>
  </si>
  <si>
    <t>Opening Balances</t>
  </si>
  <si>
    <t>Capital Income</t>
  </si>
  <si>
    <t>OB01</t>
  </si>
  <si>
    <t>OB02</t>
  </si>
  <si>
    <t>OB03</t>
  </si>
  <si>
    <t>CI01</t>
  </si>
  <si>
    <t>CI03</t>
  </si>
  <si>
    <t>CI04</t>
  </si>
  <si>
    <t>CE01</t>
  </si>
  <si>
    <t>CE02</t>
  </si>
  <si>
    <t>CE03</t>
  </si>
  <si>
    <t>CE04</t>
  </si>
  <si>
    <t>JCoSS</t>
  </si>
  <si>
    <t>E01, E02, E26 - Teaching Staff</t>
  </si>
  <si>
    <t>Pupil Numbers</t>
  </si>
  <si>
    <t>Nursery Sector</t>
  </si>
  <si>
    <t>Primary Sector</t>
  </si>
  <si>
    <t>Secondary Sector</t>
  </si>
  <si>
    <t>Special Sector</t>
  </si>
  <si>
    <t>Pavilion Study Centre</t>
  </si>
  <si>
    <t>Discovery Bay</t>
  </si>
  <si>
    <t>Northgate</t>
  </si>
  <si>
    <t>Beit Shvidler</t>
  </si>
  <si>
    <t xml:space="preserve">I05 - Pupil Premium </t>
  </si>
  <si>
    <t>Check</t>
  </si>
  <si>
    <t>DfE Number</t>
  </si>
  <si>
    <t>Sector Averages</t>
  </si>
  <si>
    <t>I18</t>
  </si>
  <si>
    <t>St. Mary's and St. John's (NW4) Primary</t>
  </si>
  <si>
    <t>A</t>
  </si>
  <si>
    <t>St Paul's CofE Primary School NW7</t>
  </si>
  <si>
    <t>I05 - Pupil Premium</t>
  </si>
  <si>
    <t>Sacks Morasha</t>
  </si>
  <si>
    <t xml:space="preserve">Total </t>
  </si>
  <si>
    <t>PRU's</t>
  </si>
  <si>
    <t>PRU Sector Average</t>
  </si>
  <si>
    <t>Pupil Referral Unit</t>
  </si>
  <si>
    <t>PR</t>
  </si>
  <si>
    <t>Northgate School</t>
  </si>
  <si>
    <t>Garden Suburb Junior</t>
  </si>
  <si>
    <t>The Annunciation Catholic Infant School</t>
  </si>
  <si>
    <t>St Vincent's Catholic Primary School</t>
  </si>
  <si>
    <t>Beit Shvidler Primary School</t>
  </si>
  <si>
    <t>St. James' Catholic High School</t>
  </si>
  <si>
    <t>Capital Expenditure</t>
  </si>
  <si>
    <t>De Minimis</t>
  </si>
  <si>
    <t>Pavilion</t>
  </si>
  <si>
    <t>DfE No</t>
  </si>
  <si>
    <t>St. Joseph's RC Primary</t>
  </si>
  <si>
    <t>Edgware Primary School</t>
  </si>
  <si>
    <t>St Joseph's Catholic Primary School</t>
  </si>
  <si>
    <t>St Mary's and St John's School</t>
  </si>
  <si>
    <t>LAEstab</t>
  </si>
  <si>
    <t xml:space="preserve">Pupil Premium Free School Meals </t>
  </si>
  <si>
    <t>School Type</t>
  </si>
  <si>
    <t>Fairway Primary School and Children's Centre</t>
  </si>
  <si>
    <t>Livingstone Primary and Nursery School</t>
  </si>
  <si>
    <t>Queenswell Infant &amp; Nursery School</t>
  </si>
  <si>
    <t>All Saints' CofE Primary School NW2</t>
  </si>
  <si>
    <t>St John's CofE Junior Mixed and Infant School</t>
  </si>
  <si>
    <t>St John's CofE Primary School</t>
  </si>
  <si>
    <t>St Mary's CofE Primary School</t>
  </si>
  <si>
    <t>St Andrew's CofE Voluntary Aided Primary School, Totteridge</t>
  </si>
  <si>
    <t>St Theresa's Catholic Primary School</t>
  </si>
  <si>
    <t>Oakleigh School &amp; Acorn Assessment Centre</t>
  </si>
  <si>
    <t>Barnet</t>
  </si>
  <si>
    <t>Menorah High School for Girls</t>
  </si>
  <si>
    <t>Underhill School</t>
  </si>
  <si>
    <t>Difference</t>
  </si>
  <si>
    <t>Excl Community Focussed Revenue Balance</t>
  </si>
  <si>
    <t>Blessed Dominic Catholic Primary School</t>
  </si>
  <si>
    <t>St Mary's and St John's CofE School</t>
  </si>
  <si>
    <t>BEYA</t>
  </si>
  <si>
    <t>E28a - Bought in Prof Services (other)</t>
  </si>
  <si>
    <t>E28b - Bought in Prof Services (PFI)</t>
  </si>
  <si>
    <t>E27 - Bought in Prof Services Curriculum</t>
  </si>
  <si>
    <t xml:space="preserve">I08b - Income from other Facilities &amp; Services </t>
  </si>
  <si>
    <t>I08a - Income from Lettings</t>
  </si>
  <si>
    <t>Dollis Primary School</t>
  </si>
  <si>
    <t>All-through Schools</t>
  </si>
  <si>
    <t>All-through Sector Average</t>
  </si>
  <si>
    <t>The Noam Primary School</t>
  </si>
  <si>
    <t>I08a &amp;b  Inc. from Lettings &amp; Other Facilities &amp; Services</t>
  </si>
  <si>
    <t>E03 Education Support Staff</t>
  </si>
  <si>
    <t>E04 Premises Staff</t>
  </si>
  <si>
    <t>E05 Admin &amp; Clerical Staff</t>
  </si>
  <si>
    <t>E12 Building Maintenance &amp; Improvement</t>
  </si>
  <si>
    <t>E15 Water</t>
  </si>
  <si>
    <t>E16 Energy</t>
  </si>
  <si>
    <t>E18 Other Occupation Costs</t>
  </si>
  <si>
    <t>E19 Learning Resources</t>
  </si>
  <si>
    <t>E22 Administrative Supplies</t>
  </si>
  <si>
    <t>E27 Brought in Prof Services- Curriculum</t>
  </si>
  <si>
    <t>E25 Catering Supplies</t>
  </si>
  <si>
    <t xml:space="preserve">nursery </t>
  </si>
  <si>
    <t>primary</t>
  </si>
  <si>
    <t>secondary</t>
  </si>
  <si>
    <t>special</t>
  </si>
  <si>
    <t>pru</t>
  </si>
  <si>
    <t>St. Joseph's RC Primary School</t>
  </si>
  <si>
    <t>St. Mary's &amp; St. John's All-through</t>
  </si>
  <si>
    <t>I18 - Additional Grants for Schools   TOTAL</t>
  </si>
  <si>
    <t>I18d - Other Additional Grants for Schools</t>
  </si>
  <si>
    <t>I18c - Additional Grants for Schools £1bn COVID-19 Catch-up</t>
  </si>
  <si>
    <t>I18b - Additional Grants for Schools in relation to COVID-19</t>
  </si>
  <si>
    <t>I18a - Additional Grants for Schools COVID-19 Job Retention Scheme</t>
  </si>
  <si>
    <t>Shalom Noam Primary School</t>
  </si>
  <si>
    <t>I18a</t>
  </si>
  <si>
    <t>I18b</t>
  </si>
  <si>
    <t>I18c</t>
  </si>
  <si>
    <t>I18d</t>
  </si>
  <si>
    <t xml:space="preserve">I08a &amp; I08b - Income from Facilities &amp; Services </t>
  </si>
  <si>
    <t>As % of Total Rev. Income</t>
  </si>
  <si>
    <t>CFR 2021-22 Benchmark Data Status Report</t>
  </si>
  <si>
    <t>LEA Number</t>
  </si>
  <si>
    <t>Estab Number</t>
  </si>
  <si>
    <t>Federated Submission</t>
  </si>
  <si>
    <t>Federated Schools</t>
  </si>
  <si>
    <t>Status</t>
  </si>
  <si>
    <t>Errors</t>
  </si>
  <si>
    <t>OK Errors</t>
  </si>
  <si>
    <t>Financial Year</t>
  </si>
  <si>
    <t>Input System</t>
  </si>
  <si>
    <t>Data Prep</t>
  </si>
  <si>
    <t>Data Version</t>
  </si>
  <si>
    <t>Full Year</t>
  </si>
  <si>
    <t>Cash Or Accrual</t>
  </si>
  <si>
    <t>Rates Exempt</t>
  </si>
  <si>
    <t>Insurance</t>
  </si>
  <si>
    <t>I08a</t>
  </si>
  <si>
    <t>I08b</t>
  </si>
  <si>
    <t>E28a</t>
  </si>
  <si>
    <t>E28b</t>
  </si>
  <si>
    <t xml:space="preserve"> CI04</t>
  </si>
  <si>
    <t>DeMinimis</t>
  </si>
  <si>
    <t>B01</t>
  </si>
  <si>
    <t>B02</t>
  </si>
  <si>
    <t>B03</t>
  </si>
  <si>
    <t>B05</t>
  </si>
  <si>
    <t>B06</t>
  </si>
  <si>
    <t>B07</t>
  </si>
  <si>
    <t>Total Revenue Outturn</t>
  </si>
  <si>
    <t>Total Capital Outturn</t>
  </si>
  <si>
    <t>Beya</t>
  </si>
  <si>
    <t>Yes</t>
  </si>
  <si>
    <t xml:space="preserve">3021001, 3021003  </t>
  </si>
  <si>
    <t>Authorised</t>
  </si>
  <si>
    <t>20212022</t>
  </si>
  <si>
    <t>XG21</t>
  </si>
  <si>
    <t>Y</t>
  </si>
  <si>
    <t>Final</t>
  </si>
  <si>
    <t>Accruals</t>
  </si>
  <si>
    <t>No</t>
  </si>
  <si>
    <t>Pavilion StudyCt PRU</t>
  </si>
  <si>
    <t>Northgate PRU</t>
  </si>
  <si>
    <t>Edgware Primary</t>
  </si>
  <si>
    <t>Garden Suburb Infant</t>
  </si>
  <si>
    <t>Manorside School</t>
  </si>
  <si>
    <t>Woodridge</t>
  </si>
  <si>
    <t>Whitings Hill</t>
  </si>
  <si>
    <t xml:space="preserve">3022071  , </t>
  </si>
  <si>
    <t>Beis Yaakov School</t>
  </si>
  <si>
    <t>All Saints' CE NW2</t>
  </si>
  <si>
    <t>St John's CE N11</t>
  </si>
  <si>
    <t>St John's CE N20</t>
  </si>
  <si>
    <t>St Mary's CE N3</t>
  </si>
  <si>
    <t>St Mary's CE EN4</t>
  </si>
  <si>
    <t>St Paul's CE N11</t>
  </si>
  <si>
    <t>St Paul's CE NW7</t>
  </si>
  <si>
    <t>St Andrew's CE School</t>
  </si>
  <si>
    <t>All Saints' CE N20</t>
  </si>
  <si>
    <t>Annunciation RC Infant</t>
  </si>
  <si>
    <t>Our Lady Of Lourdes</t>
  </si>
  <si>
    <t>St Agnes' RC School</t>
  </si>
  <si>
    <t>St Vincent's RC School</t>
  </si>
  <si>
    <t>St Theresa's RC School</t>
  </si>
  <si>
    <t>St Joseph's RC Primary</t>
  </si>
  <si>
    <t>Blessed Dominic RC</t>
  </si>
  <si>
    <t>Annunciation RC Junior</t>
  </si>
  <si>
    <t>Woodcroft</t>
  </si>
  <si>
    <t>Menorah High School</t>
  </si>
  <si>
    <t>St Michael's Catholic</t>
  </si>
  <si>
    <t>Finchley Catholic</t>
  </si>
  <si>
    <t>St James' Catholic</t>
  </si>
  <si>
    <t>Mathilda Marks Kennedy</t>
  </si>
  <si>
    <t>Menorah Foundation</t>
  </si>
  <si>
    <t>2021-22 CFR Data Return to DfE</t>
  </si>
  <si>
    <t>Rev Balance b/fwd from 2020-21</t>
  </si>
  <si>
    <t>Rev Balance C/fwd to 2022-23</t>
  </si>
  <si>
    <t>DfE Benchmarking Data 2021-22</t>
  </si>
  <si>
    <t>URN</t>
  </si>
  <si>
    <t>Analysis Period</t>
  </si>
  <si>
    <t>Number of Pupils</t>
  </si>
  <si>
    <t>2021 - 2022</t>
  </si>
  <si>
    <t>St Agnes' Catholic Primary School</t>
  </si>
  <si>
    <t>St John's CofE Primary and Nursery School</t>
  </si>
  <si>
    <t>Final Budget Share 2021-22</t>
  </si>
  <si>
    <t>Pupil Nos 2021-22</t>
  </si>
  <si>
    <t>Queenswell Federation</t>
  </si>
  <si>
    <t>FOR ALL SCHOOLS</t>
  </si>
  <si>
    <t>SOURCE:</t>
  </si>
  <si>
    <t>DfE 2021-22 Pupil Premium School Level Allocations March 22</t>
  </si>
  <si>
    <t xml:space="preserve">STATE-FUNDED PRIMARY AND SECONDARY, MAINTAINED SPECIAL SCHOOLS,NON MAINTAINED SPECIAL SCHOOL, SPECIAL ACADEMIES, PUPIL REFERRAL UNITS AND ALTERNATIVE PROVISION ACADEMIES (1)(2)(3)(4)(5)(6)(7): </t>
  </si>
  <si>
    <t>ILLUSTRATIVE NUMBER OF PUPILS ELIGIBLE FOR THE PUPIL PREMIUM IN 2021-22 (14)(15)(16)</t>
  </si>
  <si>
    <t>By School</t>
  </si>
  <si>
    <t>NOTES:</t>
  </si>
  <si>
    <t>All references to academies include Free Schools</t>
  </si>
  <si>
    <t>1. Includes middle schools as deemed.</t>
  </si>
  <si>
    <t>2. Includes primary academies (including Free Schools) opened uptill 01/02/22.</t>
  </si>
  <si>
    <t>3. Includes City Technology Colleges and secondary academies (including Free Schools) opened uptil 01/11/21</t>
  </si>
  <si>
    <t xml:space="preserve">4. Includes local authority maintained special schools. This does not include General Hospital schools. </t>
  </si>
  <si>
    <t>5. Includes special academies (including Free Schools) opened uptil 01/02/22.</t>
  </si>
  <si>
    <t>6. Includes AP academies which were formerly PRU which have converted and gained academy status.</t>
  </si>
  <si>
    <t>7. Includes non maintained special schools.</t>
  </si>
  <si>
    <t>8. Full time equivalent (FTE) number of pupils aged 4 and over as at 31 August 2020 in Reception to Year 11 (where National Curriculum year groups do not apply, includes pupils aged 4 to 15) as recorded on the School and PRU Census. FTEs are calculated on the same basis as the Dedicated Schools Grant.</t>
  </si>
  <si>
    <t>9. Full time equivalent (FTE) number of pupils aged 4 and over as at 31 August 2020 in Reception to Year 11 (where National Curriculum year groups do not apply pupils aged 4 to 15) as recorded on the October 20 for mainstream and special schools and on January 2021 School Census for PRUs and APs who are known to have been eligible for Free School Meals (FSM) in the previous six years (FSM eligibility in the previous six years will be determined by those pupils recorded on the October 20/January 2021 School and AP Census who were recorded as known to be eligible for FSM on any of the censuses (School and AP censuses) since Spring 2015/Summer 2015, known as Ever 6). FTEs are calculated on the same basis as the Dedicated Schools Grant.</t>
  </si>
  <si>
    <r>
      <t>*</t>
    </r>
    <r>
      <rPr>
        <sz val="8"/>
        <color rgb="FF000000"/>
        <rFont val="Arial"/>
        <family val="2"/>
      </rPr>
      <t xml:space="preserve">Deprivation numbers also include pupils with No Recourse to Public Fund (NRPF) </t>
    </r>
  </si>
  <si>
    <t>10. Pupils in National Curriculum year groups Reception to 6 and pupils not following the National Curriculum aged 4 to 10.</t>
  </si>
  <si>
    <t>11. Pupils in National Curriculum year groups 7 to 11 and pupils not following the National Curriculum aged 11 to 15.</t>
  </si>
  <si>
    <t>12. Each primary FSM Ever 6 eligible pupil will attract £1345 through the Pupil Premium. For pupils in maintained primary schools, maintained secondary schools, maintained special schools and PRUs, funding will be passed on via the local authorities. For pupils in academies, special academies and AP academies, the EFA will pass funding directly to the setting. For pupils in AP settings, funding will be allocated to local authorities to decide whether to pass on funding to the education settings or to hold back funding to manage centrally for the benefit of those pupils it has responsibility for.</t>
  </si>
  <si>
    <t>13. Each secondary FSM Ever 6 eligible pupil will attract £955 through the Pupil Premium. For pupils in maintained primary schools, maintained secondary schools, maintained special schools and PRUs, funding will be passed on via the local authorities. For pupils in academies, special academies and AP academies, the EFA will pass funding directly to the setting. For pupils in AP settings, funding will be allocated to local authorities to decide whether to pass on funding to the education settings or to hold back funding to manage centrally for the benefit of those pupils it has responsibility for.</t>
  </si>
  <si>
    <t>14. The number of eligible Looked After Children and FSM pupils recorded on the AP Census are not included in school level tables (although are eligible for the Pupil Premium) as they are taken from local authority returns.</t>
  </si>
  <si>
    <t>15. The number of service children are not provided at school level due to data protection issues.</t>
  </si>
  <si>
    <t>16. General hospital schools pupils are not included in the tables (although they remain eligible for the Pupil Premium). Information relating to General hospital schools is taken from the School Level Annual School Census (SLASC), which does not provide information relating to the year group or age of those eligible for Deprivation Pupil Premium.</t>
  </si>
  <si>
    <r>
      <t>Deprivation Pupil Premium (8)(16)</t>
    </r>
    <r>
      <rPr>
        <sz val="10"/>
        <color rgb="FF000000"/>
        <rFont val="Arial"/>
        <family val="2"/>
      </rPr>
      <t>*</t>
    </r>
  </si>
  <si>
    <t>Total Deprivation Pupil Premium</t>
  </si>
  <si>
    <t>Pupils in Primary year groups</t>
  </si>
  <si>
    <t>Pupils in Secondary year groups</t>
  </si>
  <si>
    <t>LA</t>
  </si>
  <si>
    <t>Local Authority</t>
  </si>
  <si>
    <t>Estab</t>
  </si>
  <si>
    <t>Parliamentary Constituency</t>
  </si>
  <si>
    <t>Number of pupils on roll (7)</t>
  </si>
  <si>
    <t>Number of Primary pupils on roll (9)</t>
  </si>
  <si>
    <t>Number of Primary pupils eligible for the Deprivation Pupil Premium</t>
  </si>
  <si>
    <t>Percentage of Primary pupils eligible for the Deprivation Pupil Premium</t>
  </si>
  <si>
    <t>Deprivation Pupil Premium Allocation (11)</t>
  </si>
  <si>
    <t>Number of  Secondary pupils on roll (10)</t>
  </si>
  <si>
    <t>Number of Secondary pupils eligible for the Deprivation Pupil Premium</t>
  </si>
  <si>
    <t>Percentage of Secondary pupils eligible for the Deprivation Pupil Premium</t>
  </si>
  <si>
    <t>Deprivation Pupil Premium Allocation (12)</t>
  </si>
  <si>
    <t>Total number of pupils eligible for the Deprivation Pupil Premium</t>
  </si>
  <si>
    <t>Total allocation for the Deprivation Pupil Premium</t>
  </si>
  <si>
    <t>Mainstream</t>
  </si>
  <si>
    <t>Hendon</t>
  </si>
  <si>
    <t>Finchley and Golders Green</t>
  </si>
  <si>
    <t>Chipping Barnet</t>
  </si>
  <si>
    <t>Queenswell Federation (Inf &amp; Jr)</t>
  </si>
  <si>
    <t>Brent North</t>
  </si>
  <si>
    <t>Brent Central</t>
  </si>
  <si>
    <t>Enfield, Southgate</t>
  </si>
  <si>
    <t xml:space="preserve">Special </t>
  </si>
  <si>
    <t>Pupil Premium Free School Meals  Data 2021/22</t>
  </si>
  <si>
    <t>Local Benchmarking Data for Barnet Schools - As per Income and Expenditure in 2021-22</t>
  </si>
  <si>
    <t>E14 Contract Cleaning</t>
  </si>
  <si>
    <t>E14 - Contract Cleaning</t>
  </si>
  <si>
    <t>E25 - Catering Supplies</t>
  </si>
  <si>
    <t>All through</t>
  </si>
  <si>
    <t>All Through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</si>
</sst>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2" formatCode="_-&quot;£&quot;* #,##0_-;\-&quot;£&quot;* #,##0_-;_-&quot;£&quot;* &quot;-&quot;_-;_-@_-"/>
    <numFmt numFmtId="44" formatCode="_-&quot;£&quot;* #,##0.00_-;\-&quot;£&quot;* #,##0.00_-;_-&quot;£&quot;* &quot;-&quot;??_-;_-@_-"/>
    <numFmt numFmtId="43" formatCode="_-* #,##0.00_-;\-* #,##0.00_-;_-* &quot;-&quot;??_-;_-@_-"/>
    <numFmt numFmtId="164" formatCode="&quot;£&quot;#,##0.00"/>
    <numFmt numFmtId="165" formatCode="_-* #,##0_-;\-* #,##0_-;_-* &quot;-&quot;??_-;_-@_-"/>
    <numFmt numFmtId="166" formatCode="&quot;£&quot;#,##0"/>
    <numFmt numFmtId="167" formatCode="0.0%"/>
    <numFmt numFmtId="168" formatCode="0.0"/>
    <numFmt numFmtId="169" formatCode="_(&quot;$&quot;* #,##0.00_);_(&quot;$&quot;* \(#,##0.00\);_(&quot;$&quot;* &quot;-&quot;??_);_(@_)"/>
    <numFmt numFmtId="170" formatCode="_(* #,##0.00_);_(* \(#,##0.00\);_(* &quot;-&quot;??_);_(@_)"/>
    <numFmt numFmtId="171" formatCode="#,##0.00_ ;[Red]\-#,##0.00\ "/>
    <numFmt numFmtId="172" formatCode="#,##0.0_);\(#,##0.0\)"/>
    <numFmt numFmtId="173" formatCode="_(* #,##0.0000_);_(* \(#,##0.0000\);_(* &quot;-&quot;??_);_(@_)"/>
    <numFmt numFmtId="174" formatCode="#."/>
    <numFmt numFmtId="175" formatCode="0.0%;\(0.0%\)"/>
    <numFmt numFmtId="176" formatCode="_-* #,##0\ _F_-;\-* #,##0\ _F_-;_-* &quot;-&quot;\ _F_-;_-@_-"/>
    <numFmt numFmtId="177" formatCode="_-* #,##0.00\ _F_-;\-* #,##0.00\ _F_-;_-* &quot;-&quot;??\ _F_-;_-@_-"/>
    <numFmt numFmtId="178" formatCode="_-* #,##0\ &quot;F&quot;_-;\-* #,##0\ &quot;F&quot;_-;_-* &quot;-&quot;\ &quot;F&quot;_-;_-@_-"/>
    <numFmt numFmtId="179" formatCode="_-* #,##0.00\ &quot;F&quot;_-;\-* #,##0.00\ &quot;F&quot;_-;_-* &quot;-&quot;??\ &quot;F&quot;_-;_-@_-"/>
    <numFmt numFmtId="180" formatCode="0.00_)"/>
    <numFmt numFmtId="181" formatCode="_ * #,##0.00_ ;_ * \-#,##0.00_ ;_ * &quot;-&quot;??_ ;_ @_ "/>
    <numFmt numFmtId="182" formatCode="_ * #,##0_ ;_ * \-#,##0_ ;_ * &quot;-&quot;_ ;_ @_ "/>
    <numFmt numFmtId="183" formatCode="_(&quot;Rp&quot;* #,##0.00_);_(&quot;Rp&quot;* \(#,##0.00\);_(&quot;Rp&quot;* &quot;-&quot;??_);_(@_)"/>
    <numFmt numFmtId="184" formatCode="dd\-mmm\-yyyy"/>
    <numFmt numFmtId="185" formatCode="0.000000000"/>
    <numFmt numFmtId="186" formatCode="_(* #,##0.00000_);_(* \(#,##0.00000\);_(* &quot;-&quot;??_);_(@_)"/>
    <numFmt numFmtId="187" formatCode="_-[$€-2]* #,##0.00_-;\-[$€-2]* #,##0.00_-;_-[$€-2]* &quot;-&quot;??_-"/>
    <numFmt numFmtId="188" formatCode="#,##0;[Red]\(#,##0\)"/>
    <numFmt numFmtId="189" formatCode="#,##0_ ;[Red]\-#,##0\ "/>
    <numFmt numFmtId="190" formatCode="#,##0.00;[Red]\(#,##0.00\)"/>
    <numFmt numFmtId="191" formatCode="_(&quot;£&quot;* #,##0.00_);_(&quot;£&quot;* \(#,##0.00\);_(&quot;£&quot;* &quot;-&quot;??_);_(@_)"/>
    <numFmt numFmtId="192" formatCode="#,##0.0"/>
    <numFmt numFmtId="193" formatCode="[$£]#,##0"/>
    <numFmt numFmtId="194" formatCode="&quot;£&quot;#,##0.0"/>
  </numFmts>
  <fonts count="137">
    <font>
      <sz val="10"/>
      <name val="Arial"/>
    </font>
    <font>
      <sz val="11"/>
      <color theme="1"/>
      <name val="Calibri"/>
      <family val="2"/>
      <scheme val="minor"/>
    </font>
    <font>
      <sz val="10"/>
      <name val="Arial"/>
      <family val="2"/>
    </font>
    <font>
      <sz val="10"/>
      <name val="Arial"/>
      <family val="2"/>
    </font>
    <font>
      <sz val="8"/>
      <name val="Arial"/>
      <family val="2"/>
    </font>
    <font>
      <b/>
      <sz val="14.5"/>
      <color indexed="12"/>
      <name val="Arial"/>
      <family val="2"/>
    </font>
    <font>
      <b/>
      <sz val="14"/>
      <name val="Arial"/>
      <family val="2"/>
    </font>
    <font>
      <b/>
      <sz val="12"/>
      <name val="Arial"/>
      <family val="2"/>
    </font>
    <font>
      <b/>
      <sz val="12"/>
      <color indexed="12"/>
      <name val="Arial"/>
      <family val="2"/>
    </font>
    <font>
      <b/>
      <u/>
      <sz val="12"/>
      <name val="Arial"/>
      <family val="2"/>
    </font>
    <font>
      <b/>
      <sz val="12"/>
      <color indexed="54"/>
      <name val="Arial"/>
      <family val="2"/>
    </font>
    <font>
      <sz val="12"/>
      <name val="Arial"/>
      <family val="2"/>
    </font>
    <font>
      <sz val="12"/>
      <name val="Arial"/>
      <family val="2"/>
    </font>
    <font>
      <sz val="12"/>
      <color indexed="8"/>
      <name val="Arial"/>
      <family val="2"/>
    </font>
    <font>
      <b/>
      <sz val="12"/>
      <color indexed="12"/>
      <name val="Arial"/>
      <family val="2"/>
    </font>
    <font>
      <b/>
      <sz val="12"/>
      <color indexed="54"/>
      <name val="Arial"/>
      <family val="2"/>
    </font>
    <font>
      <b/>
      <sz val="12"/>
      <name val="Arial"/>
      <family val="2"/>
    </font>
    <font>
      <b/>
      <sz val="10"/>
      <name val="Arial"/>
      <family val="2"/>
    </font>
    <font>
      <sz val="10"/>
      <name val="Arial"/>
      <family val="2"/>
    </font>
    <font>
      <b/>
      <sz val="10"/>
      <color indexed="12"/>
      <name val="Arial"/>
      <family val="2"/>
    </font>
    <font>
      <sz val="12"/>
      <color indexed="12"/>
      <name val="Arial"/>
      <family val="2"/>
    </font>
    <font>
      <b/>
      <sz val="10"/>
      <name val="Arial"/>
      <family val="2"/>
    </font>
    <font>
      <b/>
      <sz val="10"/>
      <color indexed="9"/>
      <name val="Arial"/>
      <family val="2"/>
    </font>
    <font>
      <u/>
      <sz val="10"/>
      <color indexed="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1"/>
      <name val="System"/>
      <family val="2"/>
    </font>
    <font>
      <i/>
      <sz val="11"/>
      <color indexed="23"/>
      <name val="Calibri"/>
      <family val="2"/>
    </font>
    <font>
      <sz val="9"/>
      <color indexed="18"/>
      <name val="Arial"/>
      <family val="2"/>
    </font>
    <font>
      <sz val="11"/>
      <color indexed="17"/>
      <name val="Calibri"/>
      <family val="2"/>
    </font>
    <font>
      <b/>
      <sz val="8"/>
      <name val="Arial"/>
      <family val="2"/>
    </font>
    <font>
      <sz val="8"/>
      <name val="Arial"/>
      <family val="2"/>
    </font>
    <font>
      <b/>
      <sz val="15"/>
      <color indexed="56"/>
      <name val="Calibri"/>
      <family val="2"/>
    </font>
    <font>
      <b/>
      <sz val="13"/>
      <color indexed="56"/>
      <name val="Calibri"/>
      <family val="2"/>
    </font>
    <font>
      <b/>
      <sz val="11"/>
      <color indexed="56"/>
      <name val="Calibri"/>
      <family val="2"/>
    </font>
    <font>
      <sz val="10"/>
      <color indexed="18"/>
      <name val="System"/>
      <family val="2"/>
    </font>
    <font>
      <sz val="9"/>
      <color indexed="12"/>
      <name val="Arial"/>
      <family val="2"/>
    </font>
    <font>
      <sz val="11"/>
      <color indexed="52"/>
      <name val="Calibri"/>
      <family val="2"/>
    </font>
    <font>
      <i/>
      <sz val="10"/>
      <color indexed="17"/>
      <name val="System"/>
      <family val="2"/>
    </font>
    <font>
      <sz val="11"/>
      <color indexed="60"/>
      <name val="Calibri"/>
      <family val="2"/>
    </font>
    <font>
      <b/>
      <sz val="11"/>
      <color indexed="63"/>
      <name val="Calibri"/>
      <family val="2"/>
    </font>
    <font>
      <sz val="10"/>
      <color indexed="14"/>
      <name val="System"/>
      <family val="2"/>
    </font>
    <font>
      <b/>
      <sz val="18"/>
      <color indexed="56"/>
      <name val="Cambria"/>
      <family val="2"/>
    </font>
    <font>
      <b/>
      <sz val="11"/>
      <color indexed="8"/>
      <name val="Calibri"/>
      <family val="2"/>
    </font>
    <font>
      <sz val="9"/>
      <name val="Arial"/>
      <family val="2"/>
    </font>
    <font>
      <sz val="10"/>
      <color indexed="17"/>
      <name val="System"/>
      <family val="2"/>
    </font>
    <font>
      <sz val="11"/>
      <color indexed="10"/>
      <name val="Calibri"/>
      <family val="2"/>
    </font>
    <font>
      <sz val="10"/>
      <color indexed="9"/>
      <name val="Arial"/>
      <family val="2"/>
    </font>
    <font>
      <sz val="10"/>
      <name val="Arial"/>
      <family val="2"/>
    </font>
    <font>
      <b/>
      <sz val="12"/>
      <color indexed="9"/>
      <name val="Arial"/>
      <family val="2"/>
    </font>
    <font>
      <sz val="10"/>
      <name val="Times New Roman"/>
      <family val="1"/>
    </font>
    <font>
      <sz val="12"/>
      <color indexed="9"/>
      <name val="Arial"/>
      <family val="2"/>
    </font>
    <font>
      <sz val="12"/>
      <color indexed="20"/>
      <name val="Arial"/>
      <family val="2"/>
    </font>
    <font>
      <b/>
      <sz val="12"/>
      <color indexed="52"/>
      <name val="Arial"/>
      <family val="2"/>
    </font>
    <font>
      <sz val="9"/>
      <name val="Times New Roman"/>
      <family val="1"/>
    </font>
    <font>
      <b/>
      <sz val="12"/>
      <color indexed="8"/>
      <name val="Arial"/>
      <family val="2"/>
    </font>
    <font>
      <i/>
      <sz val="12"/>
      <color indexed="23"/>
      <name val="Arial"/>
      <family val="2"/>
    </font>
    <font>
      <sz val="9"/>
      <color indexed="12"/>
      <name val="Times New Roman"/>
      <family val="1"/>
    </font>
    <font>
      <b/>
      <sz val="14"/>
      <color indexed="10"/>
      <name val="Arial"/>
      <family val="2"/>
    </font>
    <font>
      <sz val="12"/>
      <color indexed="17"/>
      <name val="Arial"/>
      <family val="2"/>
    </font>
    <font>
      <b/>
      <sz val="15"/>
      <color indexed="56"/>
      <name val="Arial"/>
      <family val="2"/>
    </font>
    <font>
      <b/>
      <sz val="13"/>
      <color indexed="56"/>
      <name val="Arial"/>
      <family val="2"/>
    </font>
    <font>
      <b/>
      <sz val="11"/>
      <color indexed="56"/>
      <name val="Arial"/>
      <family val="2"/>
    </font>
    <font>
      <sz val="12"/>
      <color indexed="62"/>
      <name val="Arial"/>
      <family val="2"/>
    </font>
    <font>
      <sz val="12"/>
      <color indexed="52"/>
      <name val="Arial"/>
      <family val="2"/>
    </font>
    <font>
      <sz val="12"/>
      <color indexed="60"/>
      <name val="Arial"/>
      <family val="2"/>
    </font>
    <font>
      <sz val="10"/>
      <color indexed="8"/>
      <name val="Arial"/>
      <family val="2"/>
    </font>
    <font>
      <b/>
      <sz val="12"/>
      <color indexed="63"/>
      <name val="Arial"/>
      <family val="2"/>
    </font>
    <font>
      <b/>
      <sz val="18"/>
      <color indexed="8"/>
      <name val="Cambria"/>
      <family val="1"/>
    </font>
    <font>
      <b/>
      <sz val="9"/>
      <name val="Times New Roman"/>
      <family val="1"/>
    </font>
    <font>
      <sz val="12"/>
      <color indexed="10"/>
      <name val="Arial"/>
      <family val="2"/>
    </font>
    <font>
      <sz val="10"/>
      <color indexed="8"/>
      <name val="Times New Roman"/>
      <family val="1"/>
    </font>
    <font>
      <b/>
      <sz val="7"/>
      <name val="Geometr706 Md BT"/>
    </font>
    <font>
      <sz val="10"/>
      <name val="Helv"/>
    </font>
    <font>
      <sz val="1"/>
      <color indexed="16"/>
      <name val="Courier"/>
      <family val="3"/>
    </font>
    <font>
      <b/>
      <sz val="12"/>
      <name val="Helv"/>
    </font>
    <font>
      <sz val="11"/>
      <color indexed="62"/>
      <name val="Calibri"/>
      <family val="2"/>
    </font>
    <font>
      <b/>
      <i/>
      <sz val="16"/>
      <name val="Helv"/>
    </font>
    <font>
      <sz val="8"/>
      <color indexed="72"/>
      <name val="MS Sans Serif"/>
      <family val="2"/>
    </font>
    <font>
      <sz val="12"/>
      <color indexed="21"/>
      <name val="Arial"/>
      <family val="2"/>
    </font>
    <font>
      <sz val="10"/>
      <name val="MS Sans Serif"/>
      <family val="2"/>
    </font>
    <font>
      <b/>
      <sz val="10"/>
      <name val="MS Sans Serif"/>
      <family val="2"/>
    </font>
    <font>
      <sz val="10"/>
      <color indexed="8"/>
      <name val="Verdana"/>
      <family val="2"/>
    </font>
    <font>
      <sz val="12"/>
      <name val="Arial"/>
      <family val="2"/>
    </font>
    <font>
      <sz val="10"/>
      <name val="Helv"/>
      <charset val="204"/>
    </font>
    <font>
      <sz val="12"/>
      <name val="Helv"/>
    </font>
    <font>
      <sz val="10"/>
      <color indexed="8"/>
      <name val="Tahoma"/>
      <family val="2"/>
    </font>
    <font>
      <b/>
      <sz val="10"/>
      <color indexed="8"/>
      <name val="Tahoma"/>
      <family val="2"/>
    </font>
    <font>
      <sz val="11"/>
      <color theme="1"/>
      <name val="Calibri"/>
      <family val="2"/>
      <scheme val="minor"/>
    </font>
    <font>
      <u/>
      <sz val="10"/>
      <color theme="10"/>
      <name val="Arial"/>
      <family val="2"/>
    </font>
    <font>
      <u/>
      <sz val="11"/>
      <color theme="10"/>
      <name val="Calibri"/>
      <family val="2"/>
      <scheme val="minor"/>
    </font>
    <font>
      <sz val="12"/>
      <color theme="1"/>
      <name val="Arial"/>
      <family val="2"/>
    </font>
    <font>
      <sz val="10"/>
      <color theme="1"/>
      <name val="Tahoma"/>
      <family val="2"/>
    </font>
    <font>
      <sz val="10"/>
      <color rgb="FF000000"/>
      <name val="Arial"/>
      <family val="2"/>
    </font>
    <font>
      <b/>
      <sz val="11"/>
      <color theme="1"/>
      <name val="Calibri"/>
      <family val="2"/>
      <scheme val="minor"/>
    </font>
    <font>
      <b/>
      <sz val="12"/>
      <color rgb="FF0000FF"/>
      <name val="Arial"/>
      <family val="2"/>
    </font>
    <font>
      <b/>
      <sz val="10"/>
      <color rgb="FF0000FF"/>
      <name val="Arial"/>
      <family val="2"/>
    </font>
    <font>
      <sz val="12"/>
      <color rgb="FF0000FF"/>
      <name val="Arial"/>
      <family val="2"/>
    </font>
    <font>
      <sz val="10"/>
      <color rgb="FF0000FF"/>
      <name val="Arial"/>
      <family val="2"/>
    </font>
    <font>
      <sz val="10"/>
      <color rgb="FFFF00FF"/>
      <name val="Arial"/>
      <family val="2"/>
    </font>
    <font>
      <b/>
      <sz val="12"/>
      <color rgb="FFFF00FF"/>
      <name val="Arial"/>
      <family val="2"/>
    </font>
    <font>
      <b/>
      <sz val="8"/>
      <color theme="0"/>
      <name val="Arial"/>
      <family val="2"/>
    </font>
    <font>
      <b/>
      <sz val="12"/>
      <color theme="0"/>
      <name val="Arial"/>
      <family val="2"/>
    </font>
    <font>
      <sz val="10"/>
      <color rgb="FF000000"/>
      <name val="Tahoma"/>
      <family val="2"/>
    </font>
    <font>
      <sz val="11"/>
      <color rgb="FF000000"/>
      <name val="Calibri"/>
      <family val="2"/>
      <scheme val="minor"/>
    </font>
    <font>
      <b/>
      <sz val="20"/>
      <color rgb="FF4682B4"/>
      <name val="Tahoma"/>
      <family val="2"/>
    </font>
    <font>
      <sz val="11"/>
      <name val="Calibri"/>
      <family val="2"/>
    </font>
    <font>
      <b/>
      <sz val="11"/>
      <color rgb="FFFFFFFF"/>
      <name val="Tahoma"/>
      <family val="2"/>
    </font>
    <font>
      <b/>
      <sz val="11"/>
      <name val="Calibri"/>
      <family val="2"/>
    </font>
    <font>
      <sz val="10"/>
      <color rgb="FF000000"/>
      <name val="Tahoma"/>
      <family val="2"/>
    </font>
    <font>
      <sz val="11"/>
      <color rgb="FF000000"/>
      <name val="Calibri"/>
      <family val="2"/>
    </font>
    <font>
      <b/>
      <sz val="12"/>
      <color rgb="FF000000"/>
      <name val="Arial"/>
      <family val="2"/>
    </font>
    <font>
      <sz val="11"/>
      <color rgb="FFFF0000"/>
      <name val="Calibri"/>
      <family val="2"/>
    </font>
    <font>
      <b/>
      <sz val="11"/>
      <color rgb="FF000000"/>
      <name val="Calibri"/>
      <family val="2"/>
    </font>
    <font>
      <b/>
      <i/>
      <sz val="11"/>
      <color rgb="FF0000CC"/>
      <name val="Calibri"/>
      <family val="2"/>
    </font>
    <font>
      <b/>
      <sz val="11"/>
      <color rgb="FF0000CC"/>
      <name val="Calibri"/>
      <family val="2"/>
    </font>
    <font>
      <b/>
      <sz val="9"/>
      <color rgb="FF000000"/>
      <name val="Arial"/>
      <family val="2"/>
    </font>
    <font>
      <b/>
      <sz val="9"/>
      <color rgb="FFFF0000"/>
      <name val="Arial"/>
      <family val="2"/>
    </font>
    <font>
      <sz val="9"/>
      <color rgb="FF000000"/>
      <name val="Arial"/>
      <family val="2"/>
    </font>
    <font>
      <sz val="9"/>
      <color rgb="FFFF0000"/>
      <name val="Arial"/>
      <family val="2"/>
    </font>
    <font>
      <sz val="8"/>
      <color rgb="FF000000"/>
      <name val="MS Sans Serif"/>
    </font>
    <font>
      <b/>
      <u/>
      <sz val="8"/>
      <color rgb="FF000000"/>
      <name val="Arial"/>
      <family val="2"/>
    </font>
    <font>
      <sz val="8"/>
      <color rgb="FF000000"/>
      <name val="Arial"/>
      <family val="2"/>
    </font>
    <font>
      <i/>
      <sz val="8"/>
      <color rgb="FF000000"/>
      <name val="Arial"/>
      <family val="2"/>
    </font>
    <font>
      <sz val="12"/>
      <color rgb="FF000000"/>
      <name val="Arial"/>
      <family val="2"/>
    </font>
    <font>
      <b/>
      <sz val="8"/>
      <color rgb="FF000000"/>
      <name val="Arial"/>
      <family val="2"/>
    </font>
    <font>
      <b/>
      <sz val="10"/>
      <color rgb="FF000000"/>
      <name val="Arial"/>
      <family val="2"/>
    </font>
    <font>
      <b/>
      <u/>
      <sz val="14.5"/>
      <color rgb="FF0000FF"/>
      <name val="Arial"/>
      <family val="2"/>
    </font>
    <font>
      <b/>
      <sz val="12"/>
      <color theme="2" tint="-0.749992370372631"/>
      <name val="Arial"/>
      <family val="2"/>
    </font>
    <font>
      <b/>
      <sz val="10"/>
      <color theme="2" tint="-0.749992370372631"/>
      <name val="Arial"/>
      <family val="2"/>
    </font>
    <font>
      <sz val="12"/>
      <color theme="2" tint="-0.749992370372631"/>
      <name val="Arial"/>
      <family val="2"/>
    </font>
    <font>
      <sz val="10"/>
      <color theme="2" tint="-0.749992370372631"/>
      <name val="Arial"/>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lightUp">
        <fgColor indexed="9"/>
        <bgColor indexed="27"/>
      </patternFill>
    </fill>
    <fill>
      <patternFill patternType="lightUp">
        <fgColor indexed="9"/>
        <bgColor indexed="26"/>
      </patternFill>
    </fill>
    <fill>
      <patternFill patternType="solid">
        <fgColor indexed="22"/>
        <bgColor indexed="64"/>
      </patternFill>
    </fill>
    <fill>
      <patternFill patternType="solid">
        <fgColor indexed="12"/>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mediumGray">
        <fgColor indexed="22"/>
      </patternFill>
    </fill>
    <fill>
      <patternFill patternType="solid">
        <fgColor indexed="35"/>
        <bgColor indexed="64"/>
      </patternFill>
    </fill>
    <fill>
      <patternFill patternType="solid">
        <fgColor indexed="62"/>
        <bgColor indexed="64"/>
      </patternFill>
    </fill>
    <fill>
      <patternFill patternType="solid">
        <fgColor indexed="43"/>
        <bgColor indexed="64"/>
      </patternFill>
    </fill>
    <fill>
      <patternFill patternType="solid">
        <fgColor indexed="44"/>
        <bgColor indexed="64"/>
      </patternFill>
    </fill>
    <fill>
      <patternFill patternType="solid">
        <fgColor rgb="FFFFFF00"/>
        <bgColor indexed="64"/>
      </patternFill>
    </fill>
    <fill>
      <patternFill patternType="solid">
        <fgColor rgb="FF4682B4"/>
        <bgColor rgb="FF4682B4"/>
      </patternFill>
    </fill>
    <fill>
      <patternFill patternType="solid">
        <fgColor theme="8" tint="0.79998168889431442"/>
        <bgColor indexed="64"/>
      </patternFill>
    </fill>
    <fill>
      <patternFill patternType="solid">
        <fgColor rgb="FFFFFFFF"/>
        <bgColor rgb="FFFFFFFF"/>
      </patternFill>
    </fill>
    <fill>
      <patternFill patternType="solid">
        <fgColor rgb="FFFFFF00"/>
        <bgColor rgb="FFFFFFFF"/>
      </patternFill>
    </fill>
    <fill>
      <patternFill patternType="solid">
        <fgColor theme="8" tint="0.59999389629810485"/>
        <bgColor indexed="64"/>
      </patternFill>
    </fill>
    <fill>
      <patternFill patternType="solid">
        <fgColor theme="8" tint="-0.249977111117893"/>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13"/>
      </top>
      <bottom style="thin">
        <color indexed="13"/>
      </bottom>
      <diagonal/>
    </border>
    <border>
      <left style="thin">
        <color indexed="63"/>
      </left>
      <right style="thin">
        <color indexed="63"/>
      </right>
      <top style="thin">
        <color indexed="63"/>
      </top>
      <bottom style="thin">
        <color indexed="63"/>
      </bottom>
      <diagonal/>
    </border>
    <border>
      <left/>
      <right style="medium">
        <color indexed="33"/>
      </right>
      <top/>
      <bottom/>
      <diagonal/>
    </border>
    <border>
      <left/>
      <right/>
      <top/>
      <bottom style="medium">
        <color indexed="64"/>
      </bottom>
      <diagonal/>
    </border>
    <border>
      <left/>
      <right/>
      <top/>
      <bottom style="thin">
        <color indexed="64"/>
      </bottom>
      <diagonal/>
    </border>
    <border>
      <left/>
      <right/>
      <top style="thin">
        <color indexed="62"/>
      </top>
      <bottom style="double">
        <color indexed="62"/>
      </bottom>
      <diagonal/>
    </border>
    <border>
      <left/>
      <right/>
      <top style="medium">
        <color indexed="8"/>
      </top>
      <bottom style="medium">
        <color indexed="8"/>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9"/>
      </left>
      <right style="thin">
        <color indexed="9"/>
      </right>
      <top/>
      <bottom style="thin">
        <color indexed="22"/>
      </bottom>
      <diagonal/>
    </border>
    <border>
      <left style="thin">
        <color indexed="9"/>
      </left>
      <right/>
      <top/>
      <bottom style="thin">
        <color indexed="22"/>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22"/>
      </bottom>
      <diagonal/>
    </border>
    <border>
      <left style="thick">
        <color indexed="64"/>
      </left>
      <right/>
      <top style="thick">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style="medium">
        <color indexed="64"/>
      </top>
      <bottom style="medium">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style="thin">
        <color indexed="64"/>
      </top>
      <bottom style="double">
        <color indexed="64"/>
      </bottom>
      <diagonal/>
    </border>
    <border>
      <left/>
      <right style="thin">
        <color theme="6" tint="-0.24994659260841701"/>
      </right>
      <top style="thin">
        <color indexed="64"/>
      </top>
      <bottom style="double">
        <color indexed="64"/>
      </bottom>
      <diagonal/>
    </border>
    <border>
      <left style="thin">
        <color rgb="FFD3D3D3"/>
      </left>
      <right style="thin">
        <color rgb="FFD3D3D3"/>
      </right>
      <top style="thin">
        <color rgb="FFD3D3D3"/>
      </top>
      <bottom style="thin">
        <color rgb="FFD3D3D3"/>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s>
  <cellStyleXfs count="1072">
    <xf numFmtId="0" fontId="0" fillId="0" borderId="0"/>
    <xf numFmtId="0" fontId="3" fillId="0" borderId="0"/>
    <xf numFmtId="0" fontId="3" fillId="0" borderId="0"/>
    <xf numFmtId="0" fontId="3" fillId="0" borderId="0"/>
    <xf numFmtId="0" fontId="7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9" fillId="0" borderId="0"/>
    <xf numFmtId="0" fontId="77" fillId="0" borderId="0">
      <alignment horizontal="left" vertical="center"/>
    </xf>
    <xf numFmtId="0" fontId="77" fillId="0" borderId="0">
      <alignment horizontal="left" vertical="center"/>
    </xf>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13"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13"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13"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13"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13"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13"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13"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13"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13"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13"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13"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13"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56"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56"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56"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56"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56"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56"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56"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56"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56"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56"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56"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56"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4" fillId="0" borderId="0" applyNumberFormat="0" applyAlignment="0"/>
    <xf numFmtId="0" fontId="51" fillId="0" borderId="0" applyNumberFormat="0" applyFill="0" applyBorder="0" applyAlignment="0" applyProtection="0"/>
    <xf numFmtId="0" fontId="28" fillId="3" borderId="0" applyNumberFormat="0" applyBorder="0" applyAlignment="0" applyProtection="0"/>
    <xf numFmtId="0" fontId="57"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71" fillId="0" borderId="0" applyFill="0" applyBorder="0" applyAlignment="0"/>
    <xf numFmtId="172" fontId="78" fillId="0" borderId="0" applyFill="0" applyBorder="0" applyAlignment="0"/>
    <xf numFmtId="173" fontId="78" fillId="0" borderId="0" applyFill="0" applyBorder="0" applyAlignment="0"/>
    <xf numFmtId="174" fontId="3" fillId="0" borderId="0" applyFill="0" applyBorder="0" applyAlignment="0"/>
    <xf numFmtId="173" fontId="3" fillId="0" borderId="0" applyFill="0" applyBorder="0" applyAlignment="0"/>
    <xf numFmtId="169" fontId="78" fillId="0" borderId="0" applyFill="0" applyBorder="0" applyAlignment="0"/>
    <xf numFmtId="175" fontId="78" fillId="0" borderId="0" applyFill="0" applyBorder="0" applyAlignment="0"/>
    <xf numFmtId="172" fontId="78" fillId="0" borderId="0" applyFill="0" applyBorder="0" applyAlignment="0"/>
    <xf numFmtId="0" fontId="29" fillId="20" borderId="1" applyNumberFormat="0" applyAlignment="0" applyProtection="0"/>
    <xf numFmtId="0" fontId="29" fillId="20" borderId="1" applyNumberFormat="0" applyAlignment="0" applyProtection="0"/>
    <xf numFmtId="0" fontId="58" fillId="20" borderId="1" applyNumberFormat="0" applyAlignment="0" applyProtection="0"/>
    <xf numFmtId="0" fontId="29" fillId="20" borderId="1" applyNumberFormat="0" applyAlignment="0" applyProtection="0"/>
    <xf numFmtId="0" fontId="29" fillId="20" borderId="1" applyNumberFormat="0" applyAlignment="0" applyProtection="0"/>
    <xf numFmtId="0" fontId="58" fillId="20" borderId="1" applyNumberFormat="0" applyAlignment="0" applyProtection="0"/>
    <xf numFmtId="0" fontId="58"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58" fillId="20" borderId="1" applyNumberFormat="0" applyAlignment="0" applyProtection="0"/>
    <xf numFmtId="0" fontId="58" fillId="20" borderId="1" applyNumberFormat="0" applyAlignment="0" applyProtection="0"/>
    <xf numFmtId="0" fontId="29" fillId="20" borderId="1" applyNumberFormat="0" applyAlignment="0" applyProtection="0"/>
    <xf numFmtId="0" fontId="58" fillId="20" borderId="1" applyNumberFormat="0" applyAlignment="0" applyProtection="0"/>
    <xf numFmtId="0" fontId="58"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42" fillId="0" borderId="2" applyNumberFormat="0" applyFill="0" applyAlignment="0" applyProtection="0"/>
    <xf numFmtId="0" fontId="17" fillId="0" borderId="0" applyNumberFormat="0" applyFont="0" applyFill="0" applyBorder="0" applyProtection="0">
      <alignment horizontal="centerContinuous" wrapText="1"/>
    </xf>
    <xf numFmtId="0" fontId="30" fillId="21" borderId="3" applyNumberFormat="0" applyAlignment="0" applyProtection="0"/>
    <xf numFmtId="0" fontId="54" fillId="21" borderId="3" applyNumberFormat="0" applyAlignment="0" applyProtection="0"/>
    <xf numFmtId="0" fontId="30" fillId="21" borderId="3" applyNumberFormat="0" applyAlignment="0" applyProtection="0"/>
    <xf numFmtId="0" fontId="30" fillId="21" borderId="3" applyNumberFormat="0" applyAlignment="0" applyProtection="0"/>
    <xf numFmtId="0" fontId="30" fillId="21" borderId="3" applyNumberFormat="0" applyAlignment="0" applyProtection="0"/>
    <xf numFmtId="0" fontId="30" fillId="21" borderId="3" applyNumberFormat="0" applyAlignment="0" applyProtection="0"/>
    <xf numFmtId="43" fontId="3" fillId="0" borderId="0" applyFont="0" applyFill="0" applyBorder="0" applyAlignment="0" applyProtection="0"/>
    <xf numFmtId="169" fontId="7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8" fillId="0" borderId="0" applyFont="0" applyFill="0" applyBorder="0" applyAlignment="0" applyProtection="0"/>
    <xf numFmtId="43" fontId="3" fillId="0" borderId="0" applyFont="0" applyFill="0" applyBorder="0" applyAlignment="0" applyProtection="0"/>
    <xf numFmtId="43" fontId="93" fillId="0" borderId="0" applyFont="0" applyFill="0" applyBorder="0" applyAlignment="0" applyProtection="0"/>
    <xf numFmtId="43" fontId="5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0" fontId="71"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9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79" fillId="0" borderId="0">
      <protection locked="0"/>
    </xf>
    <xf numFmtId="0" fontId="3" fillId="22" borderId="4" applyNumberFormat="0" applyFont="0" applyAlignment="0" applyProtection="0"/>
    <xf numFmtId="172" fontId="7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3" fillId="0" borderId="0" applyFont="0" applyFill="0" applyBorder="0" applyAlignment="0" applyProtection="0"/>
    <xf numFmtId="191"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4" fontId="79" fillId="0" borderId="0">
      <protection locked="0"/>
    </xf>
    <xf numFmtId="0" fontId="80" fillId="0" borderId="5" applyNumberFormat="0" applyBorder="0">
      <alignment horizontal="centerContinuous"/>
    </xf>
    <xf numFmtId="174" fontId="79" fillId="0" borderId="0">
      <protection locked="0"/>
    </xf>
    <xf numFmtId="14" fontId="71" fillId="0" borderId="0" applyFill="0" applyBorder="0" applyAlignment="0"/>
    <xf numFmtId="0" fontId="59" fillId="0" borderId="0">
      <alignment horizontal="left"/>
    </xf>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169" fontId="78" fillId="0" borderId="0" applyFill="0" applyBorder="0" applyAlignment="0"/>
    <xf numFmtId="172" fontId="78" fillId="0" borderId="0" applyFill="0" applyBorder="0" applyAlignment="0"/>
    <xf numFmtId="169" fontId="78" fillId="0" borderId="0" applyFill="0" applyBorder="0" applyAlignment="0"/>
    <xf numFmtId="175" fontId="78" fillId="0" borderId="0" applyFill="0" applyBorder="0" applyAlignment="0"/>
    <xf numFmtId="172" fontId="78" fillId="0" borderId="0" applyFill="0" applyBorder="0" applyAlignment="0"/>
    <xf numFmtId="0" fontId="81" fillId="7" borderId="1" applyNumberFormat="0" applyAlignment="0" applyProtection="0"/>
    <xf numFmtId="0" fontId="31" fillId="0" borderId="0" applyNumberFormat="0" applyFill="0" applyBorder="0" applyAlignment="0" applyProtection="0">
      <protection locked="0"/>
    </xf>
    <xf numFmtId="187" fontId="3" fillId="0" borderId="0" applyFont="0" applyFill="0" applyBorder="0" applyAlignment="0" applyProtection="0"/>
    <xf numFmtId="42" fontId="11" fillId="0" borderId="0" applyFont="0" applyFill="0" applyBorder="0" applyAlignment="0" applyProtection="0"/>
    <xf numFmtId="0" fontId="32" fillId="0" borderId="0" applyNumberFormat="0" applyFill="0" applyBorder="0" applyAlignment="0" applyProtection="0"/>
    <xf numFmtId="0" fontId="6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 fontId="33" fillId="0" borderId="0" applyNumberFormat="0" applyFill="0" applyBorder="0" applyAlignment="0" applyProtection="0"/>
    <xf numFmtId="0" fontId="62" fillId="0" borderId="0">
      <alignment horizontal="center" vertical="center" wrapText="1"/>
    </xf>
    <xf numFmtId="174" fontId="79" fillId="0" borderId="0">
      <protection locked="0"/>
    </xf>
    <xf numFmtId="0" fontId="63" fillId="0" borderId="6">
      <alignment vertical="center" wrapText="1"/>
    </xf>
    <xf numFmtId="0" fontId="63" fillId="0" borderId="6">
      <alignment vertical="center" wrapText="1"/>
    </xf>
    <xf numFmtId="0" fontId="63" fillId="0" borderId="6">
      <alignment vertical="center" wrapText="1"/>
    </xf>
    <xf numFmtId="0" fontId="63" fillId="0" borderId="6">
      <alignment vertical="center" wrapText="1"/>
    </xf>
    <xf numFmtId="0" fontId="63" fillId="0" borderId="6">
      <alignment vertical="center" wrapText="1"/>
    </xf>
    <xf numFmtId="0" fontId="34" fillId="4" borderId="0" applyNumberFormat="0" applyBorder="0" applyAlignment="0" applyProtection="0"/>
    <xf numFmtId="0" fontId="6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38" fontId="4" fillId="25" borderId="0" applyNumberFormat="0" applyBorder="0" applyAlignment="0" applyProtection="0"/>
    <xf numFmtId="0" fontId="35" fillId="0" borderId="0">
      <alignment horizontal="center" vertical="center" wrapText="1"/>
    </xf>
    <xf numFmtId="0" fontId="7" fillId="0" borderId="7" applyNumberFormat="0" applyAlignment="0" applyProtection="0">
      <alignment horizontal="left" vertical="center"/>
    </xf>
    <xf numFmtId="0" fontId="7" fillId="0" borderId="8">
      <alignment horizontal="left" vertical="center"/>
    </xf>
    <xf numFmtId="0" fontId="36"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4" fillId="0" borderId="8">
      <alignment horizontal="center" vertical="center" wrapText="1"/>
    </xf>
    <xf numFmtId="0" fontId="35" fillId="0" borderId="0">
      <alignment horizontal="left" wrapText="1"/>
    </xf>
    <xf numFmtId="0" fontId="37" fillId="0" borderId="9" applyNumberFormat="0" applyFill="0" applyAlignment="0" applyProtection="0"/>
    <xf numFmtId="0" fontId="65"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8" fillId="0" borderId="10" applyNumberFormat="0" applyFill="0" applyAlignment="0" applyProtection="0"/>
    <xf numFmtId="0" fontId="66"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9" fillId="0" borderId="11" applyNumberFormat="0" applyFill="0" applyAlignment="0" applyProtection="0"/>
    <xf numFmtId="0" fontId="67"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0" applyNumberFormat="0" applyFill="0" applyBorder="0" applyAlignment="0" applyProtection="0"/>
    <xf numFmtId="0" fontId="67"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95"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5" fillId="0" borderId="0" applyNumberFormat="0" applyFill="0" applyBorder="0" applyAlignment="0" applyProtection="0"/>
    <xf numFmtId="0" fontId="23" fillId="0" borderId="0" applyNumberFormat="0" applyFill="0" applyBorder="0" applyAlignment="0" applyProtection="0">
      <alignment vertical="top"/>
      <protection locked="0"/>
    </xf>
    <xf numFmtId="0" fontId="94" fillId="0" borderId="0" applyNumberFormat="0" applyFill="0" applyBorder="0" applyAlignment="0" applyProtection="0"/>
    <xf numFmtId="1" fontId="40" fillId="0" borderId="0" applyNumberFormat="0" applyFill="0" applyBorder="0" applyAlignment="0" applyProtection="0"/>
    <xf numFmtId="1" fontId="41" fillId="26" borderId="0" applyNumberFormat="0" applyFill="0" applyBorder="0" applyAlignment="0" applyProtection="0"/>
    <xf numFmtId="10" fontId="4" fillId="27" borderId="6" applyNumberFormat="0" applyBorder="0" applyAlignment="0" applyProtection="0"/>
    <xf numFmtId="0" fontId="68" fillId="7" borderId="1" applyNumberFormat="0" applyAlignment="0" applyProtection="0"/>
    <xf numFmtId="1" fontId="41" fillId="26" borderId="0" applyNumberFormat="0" applyFill="0" applyBorder="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81" fillId="7" borderId="1" applyNumberFormat="0" applyAlignment="0" applyProtection="0"/>
    <xf numFmtId="0" fontId="28" fillId="3" borderId="0" applyNumberFormat="0" applyBorder="0" applyAlignment="0" applyProtection="0"/>
    <xf numFmtId="0" fontId="36" fillId="0" borderId="0">
      <alignment horizontal="left" vertical="center"/>
    </xf>
    <xf numFmtId="0" fontId="4" fillId="0" borderId="0">
      <alignment horizontal="left" vertical="center"/>
    </xf>
    <xf numFmtId="0" fontId="4" fillId="0" borderId="0">
      <alignment horizontal="left" vertical="center"/>
    </xf>
    <xf numFmtId="0" fontId="36" fillId="0" borderId="0">
      <alignment horizontal="center" vertical="center"/>
    </xf>
    <xf numFmtId="0" fontId="4" fillId="0" borderId="0">
      <alignment horizontal="center" vertical="center"/>
    </xf>
    <xf numFmtId="0" fontId="4" fillId="0" borderId="0">
      <alignment horizontal="center" vertical="center"/>
    </xf>
    <xf numFmtId="169" fontId="78" fillId="0" borderId="0" applyFill="0" applyBorder="0" applyAlignment="0"/>
    <xf numFmtId="172" fontId="78" fillId="0" borderId="0" applyFill="0" applyBorder="0" applyAlignment="0"/>
    <xf numFmtId="169" fontId="78" fillId="0" borderId="0" applyFill="0" applyBorder="0" applyAlignment="0"/>
    <xf numFmtId="175" fontId="78" fillId="0" borderId="0" applyFill="0" applyBorder="0" applyAlignment="0"/>
    <xf numFmtId="172" fontId="78" fillId="0" borderId="0" applyFill="0" applyBorder="0" applyAlignment="0"/>
    <xf numFmtId="0" fontId="42" fillId="0" borderId="2" applyNumberFormat="0" applyFill="0" applyAlignment="0" applyProtection="0"/>
    <xf numFmtId="0" fontId="69" fillId="0" borderId="2" applyNumberFormat="0" applyFill="0" applyAlignment="0" applyProtection="0"/>
    <xf numFmtId="0" fontId="42" fillId="0" borderId="2" applyNumberFormat="0" applyFill="0" applyAlignment="0" applyProtection="0"/>
    <xf numFmtId="0" fontId="42" fillId="0" borderId="2" applyNumberFormat="0" applyFill="0" applyAlignment="0" applyProtection="0"/>
    <xf numFmtId="0" fontId="42" fillId="0" borderId="2" applyNumberFormat="0" applyFill="0" applyAlignment="0" applyProtection="0"/>
    <xf numFmtId="0" fontId="42" fillId="0" borderId="2" applyNumberFormat="0" applyFill="0" applyAlignment="0" applyProtection="0"/>
    <xf numFmtId="10" fontId="43" fillId="0" borderId="12" applyFill="0" applyAlignment="0" applyProtection="0">
      <protection locked="0"/>
    </xf>
    <xf numFmtId="10" fontId="43" fillId="0" borderId="12" applyFill="0" applyAlignment="0" applyProtection="0">
      <protection locked="0"/>
    </xf>
    <xf numFmtId="10" fontId="43" fillId="0" borderId="12" applyFill="0" applyAlignment="0" applyProtection="0">
      <protection locked="0"/>
    </xf>
    <xf numFmtId="10" fontId="43" fillId="0" borderId="12" applyFill="0" applyAlignment="0" applyProtection="0">
      <protection locked="0"/>
    </xf>
    <xf numFmtId="10" fontId="43" fillId="0" borderId="12" applyFill="0" applyAlignment="0" applyProtection="0">
      <protection locked="0"/>
    </xf>
    <xf numFmtId="10" fontId="43" fillId="0" borderId="12" applyFill="0" applyAlignment="0" applyProtection="0">
      <protection locked="0"/>
    </xf>
    <xf numFmtId="10" fontId="43" fillId="0" borderId="12" applyFill="0" applyAlignment="0" applyProtection="0">
      <protection locked="0"/>
    </xf>
    <xf numFmtId="10" fontId="43" fillId="0" borderId="12" applyFill="0" applyAlignment="0" applyProtection="0">
      <protection locked="0"/>
    </xf>
    <xf numFmtId="10" fontId="43" fillId="0" borderId="12" applyFill="0" applyAlignment="0" applyProtection="0">
      <protection locked="0"/>
    </xf>
    <xf numFmtId="10" fontId="43" fillId="0" borderId="12" applyFill="0" applyAlignment="0" applyProtection="0">
      <protection locked="0"/>
    </xf>
    <xf numFmtId="10" fontId="43" fillId="0" borderId="12" applyFill="0" applyAlignment="0" applyProtection="0">
      <protection locked="0"/>
    </xf>
    <xf numFmtId="10" fontId="43" fillId="0" borderId="12" applyFill="0" applyAlignment="0" applyProtection="0">
      <protection locked="0"/>
    </xf>
    <xf numFmtId="176"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0" fontId="44" fillId="28" borderId="0" applyNumberFormat="0" applyBorder="0" applyAlignment="0" applyProtection="0"/>
    <xf numFmtId="0" fontId="70"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2" fontId="59" fillId="29" borderId="0"/>
    <xf numFmtId="180" fontId="82" fillId="0" borderId="0"/>
    <xf numFmtId="0" fontId="90" fillId="0" borderId="0"/>
    <xf numFmtId="0" fontId="90" fillId="0" borderId="0"/>
    <xf numFmtId="0" fontId="90" fillId="0" borderId="0"/>
    <xf numFmtId="0" fontId="90" fillId="0" borderId="0"/>
    <xf numFmtId="0" fontId="11"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3" fillId="0" borderId="0"/>
    <xf numFmtId="0" fontId="93" fillId="0" borderId="0"/>
    <xf numFmtId="0" fontId="93" fillId="0" borderId="0"/>
    <xf numFmtId="0" fontId="93" fillId="0" borderId="0"/>
    <xf numFmtId="0" fontId="93" fillId="0" borderId="0"/>
    <xf numFmtId="0" fontId="93" fillId="0" borderId="0"/>
    <xf numFmtId="0" fontId="93" fillId="0" borderId="0"/>
    <xf numFmtId="0" fontId="3" fillId="0" borderId="0"/>
    <xf numFmtId="0" fontId="11" fillId="0" borderId="0"/>
    <xf numFmtId="0" fontId="13" fillId="0" borderId="0"/>
    <xf numFmtId="0" fontId="3" fillId="0" borderId="0"/>
    <xf numFmtId="0" fontId="3" fillId="0" borderId="0"/>
    <xf numFmtId="0" fontId="11" fillId="0" borderId="0"/>
    <xf numFmtId="0" fontId="13" fillId="0" borderId="0"/>
    <xf numFmtId="0" fontId="96" fillId="0" borderId="0"/>
    <xf numFmtId="0" fontId="3" fillId="0" borderId="0"/>
    <xf numFmtId="0" fontId="3" fillId="0" borderId="0"/>
    <xf numFmtId="0" fontId="13" fillId="0" borderId="0"/>
    <xf numFmtId="0" fontId="11"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3" fillId="0" borderId="0"/>
    <xf numFmtId="0" fontId="2" fillId="0" borderId="0"/>
    <xf numFmtId="0" fontId="11" fillId="0" borderId="0"/>
    <xf numFmtId="0" fontId="11" fillId="0" borderId="0"/>
    <xf numFmtId="0" fontId="11" fillId="0" borderId="0"/>
    <xf numFmtId="0" fontId="11" fillId="0" borderId="0"/>
    <xf numFmtId="0" fontId="3" fillId="0" borderId="0"/>
    <xf numFmtId="0" fontId="3" fillId="0" borderId="0"/>
    <xf numFmtId="0" fontId="11" fillId="0" borderId="0"/>
    <xf numFmtId="0" fontId="96" fillId="0" borderId="0"/>
    <xf numFmtId="0" fontId="83" fillId="0" borderId="0" applyAlignment="0">
      <alignment vertical="top" wrapText="1"/>
      <protection locked="0"/>
    </xf>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26"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1" fillId="0" borderId="0"/>
    <xf numFmtId="0" fontId="3" fillId="0" borderId="0"/>
    <xf numFmtId="0" fontId="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1" fillId="0" borderId="0"/>
    <xf numFmtId="0" fontId="3" fillId="0" borderId="0"/>
    <xf numFmtId="0" fontId="96" fillId="0" borderId="0"/>
    <xf numFmtId="0" fontId="1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93" fillId="0" borderId="0"/>
    <xf numFmtId="0" fontId="8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1" fillId="0" borderId="0"/>
    <xf numFmtId="0" fontId="11" fillId="0" borderId="0"/>
    <xf numFmtId="0" fontId="96" fillId="0" borderId="0"/>
    <xf numFmtId="0" fontId="26" fillId="0" borderId="0"/>
    <xf numFmtId="0" fontId="93" fillId="0" borderId="0"/>
    <xf numFmtId="0" fontId="13" fillId="0" borderId="0"/>
    <xf numFmtId="0" fontId="11" fillId="0" borderId="0"/>
    <xf numFmtId="0" fontId="11" fillId="0" borderId="0"/>
    <xf numFmtId="0" fontId="11" fillId="0" borderId="0"/>
    <xf numFmtId="0" fontId="11" fillId="0" borderId="0"/>
    <xf numFmtId="0" fontId="11" fillId="0" borderId="0"/>
    <xf numFmtId="0" fontId="3"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93" fillId="0" borderId="0"/>
    <xf numFmtId="0" fontId="3" fillId="0" borderId="0"/>
    <xf numFmtId="0" fontId="3" fillId="0" borderId="0"/>
    <xf numFmtId="0" fontId="3" fillId="0" borderId="0"/>
    <xf numFmtId="0" fontId="3" fillId="0" borderId="0"/>
    <xf numFmtId="0" fontId="1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0" borderId="0"/>
    <xf numFmtId="0" fontId="9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71" fillId="0" borderId="0">
      <alignment vertical="top"/>
    </xf>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3" fillId="0" borderId="0" applyNumberFormat="0" applyFont="0" applyFill="0" applyBorder="0" applyAlignment="0" applyProtection="0"/>
    <xf numFmtId="0" fontId="3" fillId="0" borderId="0"/>
    <xf numFmtId="0" fontId="3" fillId="0" borderId="0"/>
    <xf numFmtId="0" fontId="97" fillId="0" borderId="0"/>
    <xf numFmtId="0" fontId="3" fillId="0" borderId="0"/>
    <xf numFmtId="0" fontId="96"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11"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8" fillId="0" borderId="0" applyNumberFormat="0" applyBorder="0" applyProtection="0"/>
    <xf numFmtId="4" fontId="59" fillId="0" borderId="0">
      <alignment horizontal="right"/>
    </xf>
    <xf numFmtId="0" fontId="59" fillId="0" borderId="0">
      <alignment horizontal="left"/>
    </xf>
    <xf numFmtId="0" fontId="11" fillId="22" borderId="4" applyNumberFormat="0" applyFont="0" applyAlignment="0" applyProtection="0"/>
    <xf numFmtId="0" fontId="11" fillId="22" borderId="4" applyNumberFormat="0" applyFont="0" applyAlignment="0" applyProtection="0"/>
    <xf numFmtId="0" fontId="11" fillId="22" borderId="4" applyNumberFormat="0" applyFont="0" applyAlignment="0" applyProtection="0"/>
    <xf numFmtId="0" fontId="11" fillId="22" borderId="4" applyNumberFormat="0" applyFont="0" applyAlignment="0" applyProtection="0"/>
    <xf numFmtId="0" fontId="11" fillId="22" borderId="4" applyNumberFormat="0" applyFont="0" applyAlignment="0" applyProtection="0"/>
    <xf numFmtId="0" fontId="11" fillId="22" borderId="4" applyNumberFormat="0" applyFont="0" applyAlignment="0" applyProtection="0"/>
    <xf numFmtId="0" fontId="11" fillId="22" borderId="4" applyNumberFormat="0" applyFont="0" applyAlignment="0" applyProtection="0"/>
    <xf numFmtId="0" fontId="11" fillId="22" borderId="4" applyNumberFormat="0" applyFont="0" applyAlignment="0" applyProtection="0"/>
    <xf numFmtId="0" fontId="11" fillId="22" borderId="4" applyNumberFormat="0" applyFont="0" applyAlignment="0" applyProtection="0"/>
    <xf numFmtId="0" fontId="11" fillId="22" borderId="4" applyNumberFormat="0" applyFont="0" applyAlignment="0" applyProtection="0"/>
    <xf numFmtId="0" fontId="11" fillId="22" borderId="4" applyNumberFormat="0" applyFont="0" applyAlignment="0" applyProtection="0"/>
    <xf numFmtId="0" fontId="11" fillId="22" borderId="4" applyNumberFormat="0" applyFont="0" applyAlignment="0" applyProtection="0"/>
    <xf numFmtId="0" fontId="11"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3" fontId="36" fillId="0" borderId="0">
      <alignment horizontal="right"/>
    </xf>
    <xf numFmtId="3" fontId="4" fillId="0" borderId="0">
      <alignment horizontal="right"/>
    </xf>
    <xf numFmtId="3" fontId="4" fillId="0" borderId="0">
      <alignment horizontal="right"/>
    </xf>
    <xf numFmtId="181" fontId="3" fillId="0" borderId="0" applyFont="0" applyFill="0" applyBorder="0" applyAlignment="0" applyProtection="0"/>
    <xf numFmtId="182" fontId="3" fillId="0" borderId="0" applyFont="0" applyFill="0" applyBorder="0" applyAlignment="0" applyProtection="0"/>
    <xf numFmtId="0" fontId="45" fillId="20" borderId="13" applyNumberFormat="0" applyAlignment="0" applyProtection="0"/>
    <xf numFmtId="0" fontId="72"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72" fillId="20" borderId="13" applyNumberFormat="0" applyAlignment="0" applyProtection="0"/>
    <xf numFmtId="0" fontId="72" fillId="20" borderId="13" applyNumberFormat="0" applyAlignment="0" applyProtection="0"/>
    <xf numFmtId="0" fontId="45" fillId="20" borderId="13" applyNumberFormat="0" applyAlignment="0" applyProtection="0"/>
    <xf numFmtId="0" fontId="72" fillId="20" borderId="13" applyNumberFormat="0" applyAlignment="0" applyProtection="0"/>
    <xf numFmtId="0" fontId="72"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45" fillId="20" borderId="13" applyNumberFormat="0" applyAlignment="0" applyProtection="0"/>
    <xf numFmtId="0" fontId="84" fillId="0" borderId="0" applyFill="0">
      <alignment vertical="center"/>
    </xf>
    <xf numFmtId="9" fontId="3" fillId="0" borderId="0" applyFont="0" applyFill="0" applyBorder="0" applyAlignment="0" applyProtection="0"/>
    <xf numFmtId="173" fontId="3" fillId="0" borderId="0" applyFont="0" applyFill="0" applyBorder="0" applyAlignment="0" applyProtection="0"/>
    <xf numFmtId="183" fontId="3" fillId="0" borderId="0" applyFont="0" applyFill="0" applyBorder="0" applyAlignment="0" applyProtection="0"/>
    <xf numFmtId="10" fontId="3" fillId="0" borderId="0" applyFont="0" applyFill="0" applyBorder="0" applyAlignment="0" applyProtection="0"/>
    <xf numFmtId="9" fontId="5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6" fillId="0" borderId="0" applyFont="0" applyFill="0" applyBorder="0" applyAlignment="0" applyProtection="0"/>
    <xf numFmtId="169" fontId="78" fillId="0" borderId="0" applyFill="0" applyBorder="0" applyAlignment="0"/>
    <xf numFmtId="172" fontId="78" fillId="0" borderId="0" applyFill="0" applyBorder="0" applyAlignment="0"/>
    <xf numFmtId="169" fontId="78" fillId="0" borderId="0" applyFill="0" applyBorder="0" applyAlignment="0"/>
    <xf numFmtId="175" fontId="78" fillId="0" borderId="0" applyFill="0" applyBorder="0" applyAlignment="0"/>
    <xf numFmtId="172" fontId="78" fillId="0" borderId="0" applyFill="0" applyBorder="0" applyAlignment="0"/>
    <xf numFmtId="1" fontId="46" fillId="0" borderId="14" applyNumberFormat="0" applyFill="0" applyBorder="0" applyAlignment="0" applyProtection="0"/>
    <xf numFmtId="0" fontId="85" fillId="0" borderId="0" applyNumberFormat="0" applyFont="0" applyFill="0" applyBorder="0" applyAlignment="0" applyProtection="0">
      <alignment horizontal="left"/>
    </xf>
    <xf numFmtId="15" fontId="85" fillId="0" borderId="0" applyFont="0" applyFill="0" applyBorder="0" applyAlignment="0" applyProtection="0"/>
    <xf numFmtId="4" fontId="85" fillId="0" borderId="0" applyFont="0" applyFill="0" applyBorder="0" applyAlignment="0" applyProtection="0"/>
    <xf numFmtId="0" fontId="86" fillId="0" borderId="15">
      <alignment horizontal="center"/>
    </xf>
    <xf numFmtId="3" fontId="85" fillId="0" borderId="0" applyFont="0" applyFill="0" applyBorder="0" applyAlignment="0" applyProtection="0"/>
    <xf numFmtId="0" fontId="85" fillId="30" borderId="0" applyNumberFormat="0" applyFon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4" fontId="71" fillId="31" borderId="13" applyNumberFormat="0" applyProtection="0">
      <alignment horizontal="right" vertical="center"/>
    </xf>
    <xf numFmtId="4" fontId="71" fillId="31" borderId="13" applyNumberFormat="0" applyProtection="0">
      <alignment horizontal="right" vertical="center"/>
    </xf>
    <xf numFmtId="4" fontId="71" fillId="31" borderId="13" applyNumberFormat="0" applyProtection="0">
      <alignment horizontal="right" vertical="center"/>
    </xf>
    <xf numFmtId="4" fontId="71" fillId="31" borderId="13" applyNumberFormat="0" applyProtection="0">
      <alignment horizontal="right" vertical="center"/>
    </xf>
    <xf numFmtId="4" fontId="71" fillId="31" borderId="13" applyNumberFormat="0" applyProtection="0">
      <alignment horizontal="right" vertical="center"/>
    </xf>
    <xf numFmtId="4" fontId="71" fillId="31" borderId="13" applyNumberFormat="0" applyProtection="0">
      <alignment horizontal="right" vertical="center"/>
    </xf>
    <xf numFmtId="4" fontId="71" fillId="31" borderId="13" applyNumberFormat="0" applyProtection="0">
      <alignment horizontal="right" vertical="center"/>
    </xf>
    <xf numFmtId="4" fontId="71" fillId="31" borderId="13" applyNumberFormat="0" applyProtection="0">
      <alignment horizontal="right" vertical="center"/>
    </xf>
    <xf numFmtId="4" fontId="71" fillId="31" borderId="13" applyNumberFormat="0" applyProtection="0">
      <alignment horizontal="right" vertical="center"/>
    </xf>
    <xf numFmtId="4" fontId="71" fillId="31" borderId="13" applyNumberFormat="0" applyProtection="0">
      <alignment horizontal="right" vertical="center"/>
    </xf>
    <xf numFmtId="4" fontId="71" fillId="31" borderId="13" applyNumberFormat="0" applyProtection="0">
      <alignment horizontal="right" vertical="center"/>
    </xf>
    <xf numFmtId="0" fontId="34" fillId="4" borderId="0" applyNumberFormat="0" applyBorder="0" applyAlignment="0" applyProtection="0"/>
    <xf numFmtId="0" fontId="73" fillId="0" borderId="0" applyNumberFormat="0" applyFill="0" applyBorder="0" applyAlignment="0" applyProtection="0"/>
    <xf numFmtId="0" fontId="45" fillId="20" borderId="13"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49" fontId="87" fillId="0" borderId="0" applyFill="0" applyBorder="0" applyProtection="0">
      <alignment horizontal="left"/>
    </xf>
    <xf numFmtId="49" fontId="87" fillId="0" borderId="0" applyFill="0" applyBorder="0" applyProtection="0">
      <alignment horizontal="left" wrapText="1"/>
    </xf>
    <xf numFmtId="2" fontId="87" fillId="29" borderId="0" applyBorder="0" applyProtection="0">
      <alignment horizontal="left"/>
    </xf>
    <xf numFmtId="2" fontId="87" fillId="32" borderId="0" applyBorder="0" applyProtection="0">
      <alignment horizontal="left"/>
    </xf>
    <xf numFmtId="184" fontId="87" fillId="0" borderId="0" applyFill="0" applyBorder="0" applyProtection="0">
      <alignment horizontal="center" wrapText="1"/>
    </xf>
    <xf numFmtId="184" fontId="87" fillId="0" borderId="0" applyFill="0" applyBorder="0" applyProtection="0">
      <alignment horizontal="center"/>
    </xf>
    <xf numFmtId="0" fontId="4" fillId="0" borderId="16" applyBorder="0">
      <alignment horizontal="right"/>
    </xf>
    <xf numFmtId="169" fontId="2" fillId="0" borderId="0"/>
    <xf numFmtId="169" fontId="3" fillId="0" borderId="0"/>
    <xf numFmtId="169" fontId="3" fillId="0" borderId="0"/>
    <xf numFmtId="169" fontId="2" fillId="0" borderId="0"/>
    <xf numFmtId="169" fontId="3" fillId="0" borderId="0"/>
    <xf numFmtId="169" fontId="3" fillId="0" borderId="0"/>
    <xf numFmtId="169" fontId="2" fillId="0" borderId="0"/>
    <xf numFmtId="169" fontId="3" fillId="0" borderId="0"/>
    <xf numFmtId="169" fontId="3" fillId="0" borderId="0"/>
    <xf numFmtId="49" fontId="71" fillId="0" borderId="0" applyFill="0" applyBorder="0" applyAlignment="0"/>
    <xf numFmtId="185" fontId="3" fillId="0" borderId="0" applyFill="0" applyBorder="0" applyAlignment="0"/>
    <xf numFmtId="186" fontId="3" fillId="0" borderId="0" applyFill="0" applyBorder="0" applyAlignment="0"/>
    <xf numFmtId="0" fontId="32"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7" fillId="0" borderId="9" applyNumberFormat="0" applyFill="0" applyAlignment="0" applyProtection="0"/>
    <xf numFmtId="0" fontId="38" fillId="0" borderId="10" applyNumberFormat="0" applyFill="0" applyAlignment="0" applyProtection="0"/>
    <xf numFmtId="0" fontId="39" fillId="0" borderId="11" applyNumberFormat="0" applyFill="0" applyAlignment="0" applyProtection="0"/>
    <xf numFmtId="0" fontId="39" fillId="0" borderId="0" applyNumberFormat="0" applyFill="0" applyBorder="0" applyAlignment="0" applyProtection="0"/>
    <xf numFmtId="0" fontId="48" fillId="0" borderId="17" applyNumberFormat="0" applyFill="0" applyAlignment="0" applyProtection="0"/>
    <xf numFmtId="0" fontId="60"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60" fillId="0" borderId="17" applyNumberFormat="0" applyFill="0" applyAlignment="0" applyProtection="0"/>
    <xf numFmtId="0" fontId="60" fillId="0" borderId="17" applyNumberFormat="0" applyFill="0" applyAlignment="0" applyProtection="0"/>
    <xf numFmtId="0" fontId="48" fillId="0" borderId="17" applyNumberFormat="0" applyFill="0" applyAlignment="0" applyProtection="0"/>
    <xf numFmtId="0" fontId="60" fillId="0" borderId="17" applyNumberFormat="0" applyFill="0" applyAlignment="0" applyProtection="0"/>
    <xf numFmtId="0" fontId="60"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4" fontId="74" fillId="0" borderId="18">
      <alignment horizontal="right"/>
    </xf>
    <xf numFmtId="0" fontId="74" fillId="0" borderId="18">
      <alignment horizontal="left"/>
    </xf>
    <xf numFmtId="0" fontId="49" fillId="0" borderId="0" applyNumberFormat="0" applyFill="0" applyBorder="0" applyAlignment="0" applyProtection="0"/>
    <xf numFmtId="0" fontId="50" fillId="0" borderId="0" applyNumberFormat="0" applyFill="0" applyBorder="0" applyAlignment="0" applyProtection="0"/>
    <xf numFmtId="0" fontId="30" fillId="21" borderId="3" applyNumberFormat="0" applyAlignment="0" applyProtection="0"/>
    <xf numFmtId="0" fontId="51" fillId="0" borderId="0" applyNumberFormat="0" applyFill="0" applyBorder="0" applyAlignment="0" applyProtection="0"/>
    <xf numFmtId="0" fontId="75"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09" fillId="0" borderId="0"/>
    <xf numFmtId="0" fontId="1" fillId="0" borderId="0"/>
    <xf numFmtId="0" fontId="115" fillId="0" borderId="0"/>
    <xf numFmtId="0" fontId="125" fillId="0" borderId="0" applyNumberFormat="0" applyBorder="0" applyAlignment="0">
      <protection locked="0"/>
    </xf>
    <xf numFmtId="9" fontId="115" fillId="0" borderId="0" applyFont="0" applyFill="0" applyBorder="0" applyAlignment="0" applyProtection="0"/>
  </cellStyleXfs>
  <cellXfs count="476">
    <xf numFmtId="0" fontId="0" fillId="0" borderId="0" xfId="0"/>
    <xf numFmtId="0" fontId="6" fillId="0" borderId="19" xfId="0" applyFont="1" applyBorder="1" applyAlignment="1" applyProtection="1">
      <alignment horizontal="center" vertical="center"/>
    </xf>
    <xf numFmtId="0" fontId="11" fillId="0" borderId="0" xfId="0" applyFont="1" applyFill="1" applyBorder="1" applyAlignment="1">
      <alignment horizontal="right" vertical="center" wrapText="1" shrinkToFit="1"/>
    </xf>
    <xf numFmtId="0" fontId="11" fillId="0" borderId="0" xfId="0" applyFont="1" applyAlignment="1">
      <alignment horizontal="left" vertical="center" wrapText="1" shrinkToFit="1"/>
    </xf>
    <xf numFmtId="0" fontId="11" fillId="0" borderId="0" xfId="0" applyFont="1" applyAlignment="1">
      <alignment vertical="center" wrapText="1" shrinkToFit="1"/>
    </xf>
    <xf numFmtId="0" fontId="0" fillId="0" borderId="0" xfId="0" applyFill="1"/>
    <xf numFmtId="0" fontId="11" fillId="0" borderId="0" xfId="0" applyFont="1"/>
    <xf numFmtId="0" fontId="11" fillId="0" borderId="0" xfId="0" applyFont="1" applyBorder="1"/>
    <xf numFmtId="0" fontId="11" fillId="0" borderId="0" xfId="0" applyFont="1" applyProtection="1"/>
    <xf numFmtId="0" fontId="0" fillId="0" borderId="0" xfId="0" applyAlignment="1">
      <alignment horizontal="center"/>
    </xf>
    <xf numFmtId="167" fontId="0" fillId="0" borderId="0" xfId="0" applyNumberFormat="1"/>
    <xf numFmtId="0" fontId="22" fillId="25" borderId="28" xfId="0" applyFont="1" applyFill="1" applyBorder="1" applyAlignment="1">
      <alignment horizontal="center" vertical="center" wrapText="1"/>
    </xf>
    <xf numFmtId="0" fontId="22" fillId="25" borderId="29" xfId="0" applyFont="1" applyFill="1" applyBorder="1" applyAlignment="1">
      <alignment horizontal="center" vertical="center" wrapText="1"/>
    </xf>
    <xf numFmtId="0" fontId="0" fillId="0" borderId="4" xfId="0" applyNumberFormat="1" applyBorder="1" applyAlignment="1"/>
    <xf numFmtId="0" fontId="18" fillId="0" borderId="0" xfId="0" applyFont="1"/>
    <xf numFmtId="0" fontId="11" fillId="0" borderId="0" xfId="0" applyFont="1" applyAlignment="1">
      <alignment horizontal="left"/>
    </xf>
    <xf numFmtId="0" fontId="11" fillId="0" borderId="0" xfId="312" applyNumberFormat="1" applyFont="1" applyBorder="1" applyAlignment="1">
      <alignment horizontal="left" wrapText="1"/>
    </xf>
    <xf numFmtId="0" fontId="52" fillId="0" borderId="0" xfId="0" applyFont="1"/>
    <xf numFmtId="0" fontId="0" fillId="0" borderId="4" xfId="0" applyNumberFormat="1" applyBorder="1" applyAlignment="1" applyProtection="1">
      <protection locked="0"/>
    </xf>
    <xf numFmtId="0" fontId="3" fillId="0" borderId="0" xfId="0" applyFont="1"/>
    <xf numFmtId="0" fontId="0" fillId="0" borderId="38" xfId="0" applyBorder="1"/>
    <xf numFmtId="0" fontId="3" fillId="0" borderId="4" xfId="0" applyNumberFormat="1" applyFont="1" applyBorder="1" applyAlignment="1" applyProtection="1">
      <protection locked="0"/>
    </xf>
    <xf numFmtId="0" fontId="22" fillId="35" borderId="39" xfId="0" applyFont="1" applyFill="1" applyBorder="1" applyAlignment="1">
      <alignment horizontal="center" vertical="center" wrapText="1"/>
    </xf>
    <xf numFmtId="0" fontId="17" fillId="35" borderId="40" xfId="0" applyFont="1" applyFill="1" applyBorder="1" applyAlignment="1">
      <alignment horizontal="center" vertical="center" wrapText="1"/>
    </xf>
    <xf numFmtId="165" fontId="22" fillId="25" borderId="29" xfId="312" applyNumberFormat="1" applyFont="1" applyFill="1" applyBorder="1" applyAlignment="1">
      <alignment horizontal="center" vertical="center" wrapText="1"/>
    </xf>
    <xf numFmtId="165" fontId="0" fillId="0" borderId="4" xfId="312" applyNumberFormat="1" applyFont="1" applyBorder="1" applyAlignment="1" applyProtection="1">
      <protection locked="0"/>
    </xf>
    <xf numFmtId="165" fontId="0" fillId="0" borderId="4" xfId="0" applyNumberFormat="1" applyBorder="1" applyAlignment="1" applyProtection="1">
      <protection locked="0"/>
    </xf>
    <xf numFmtId="4" fontId="0" fillId="0" borderId="4" xfId="0" applyNumberFormat="1" applyBorder="1" applyAlignment="1" applyProtection="1">
      <protection locked="0"/>
    </xf>
    <xf numFmtId="3" fontId="0" fillId="35" borderId="4" xfId="0" applyNumberFormat="1" applyFill="1" applyBorder="1" applyAlignment="1" applyProtection="1">
      <protection locked="0"/>
    </xf>
    <xf numFmtId="3" fontId="0" fillId="0" borderId="4" xfId="0" applyNumberFormat="1" applyBorder="1" applyAlignment="1" applyProtection="1">
      <protection locked="0"/>
    </xf>
    <xf numFmtId="188" fontId="0" fillId="0" borderId="0" xfId="0" applyNumberFormat="1"/>
    <xf numFmtId="171" fontId="0" fillId="0" borderId="38" xfId="0" applyNumberFormat="1" applyBorder="1"/>
    <xf numFmtId="171" fontId="0" fillId="0" borderId="0" xfId="0" applyNumberFormat="1"/>
    <xf numFmtId="0" fontId="103" fillId="0" borderId="0" xfId="0" applyFont="1"/>
    <xf numFmtId="166" fontId="103" fillId="0" borderId="0" xfId="0" applyNumberFormat="1" applyFont="1"/>
    <xf numFmtId="0" fontId="104" fillId="0" borderId="0" xfId="0" applyFont="1"/>
    <xf numFmtId="166" fontId="104" fillId="0" borderId="0" xfId="0" applyNumberFormat="1" applyFont="1"/>
    <xf numFmtId="166" fontId="11" fillId="0" borderId="0" xfId="0" applyNumberFormat="1" applyFont="1" applyAlignment="1">
      <alignment horizontal="center"/>
    </xf>
    <xf numFmtId="167" fontId="104" fillId="0" borderId="0" xfId="0" applyNumberFormat="1" applyFont="1"/>
    <xf numFmtId="167" fontId="103" fillId="0" borderId="0" xfId="0" applyNumberFormat="1" applyFont="1"/>
    <xf numFmtId="0" fontId="101" fillId="35" borderId="38" xfId="0" applyFont="1" applyFill="1" applyBorder="1"/>
    <xf numFmtId="0" fontId="0" fillId="0" borderId="38" xfId="0" applyFill="1" applyBorder="1"/>
    <xf numFmtId="0" fontId="17" fillId="0" borderId="38" xfId="0" applyFont="1" applyFill="1" applyBorder="1" applyProtection="1"/>
    <xf numFmtId="0" fontId="111" fillId="0" borderId="0" xfId="1067" applyFont="1"/>
    <xf numFmtId="0" fontId="112" fillId="36" borderId="78" xfId="1067" applyFont="1" applyFill="1" applyBorder="1" applyAlignment="1">
      <alignment horizontal="right" vertical="top" wrapText="1" readingOrder="1"/>
    </xf>
    <xf numFmtId="0" fontId="112" fillId="36" borderId="78" xfId="1067" applyFont="1" applyFill="1" applyBorder="1" applyAlignment="1">
      <alignment vertical="top" wrapText="1" readingOrder="1"/>
    </xf>
    <xf numFmtId="0" fontId="112" fillId="36" borderId="85" xfId="1067" applyFont="1" applyFill="1" applyBorder="1" applyAlignment="1">
      <alignment horizontal="right" vertical="top" wrapText="1" readingOrder="1"/>
    </xf>
    <xf numFmtId="0" fontId="113" fillId="35" borderId="6" xfId="1067" applyFont="1" applyFill="1" applyBorder="1" applyAlignment="1">
      <alignment wrapText="1"/>
    </xf>
    <xf numFmtId="0" fontId="114" fillId="0" borderId="78" xfId="1067" applyFont="1" applyBorder="1" applyAlignment="1">
      <alignment vertical="top" wrapText="1" readingOrder="1"/>
    </xf>
    <xf numFmtId="0" fontId="114" fillId="0" borderId="85" xfId="1067" applyFont="1" applyBorder="1" applyAlignment="1">
      <alignment vertical="top" wrapText="1" readingOrder="1"/>
    </xf>
    <xf numFmtId="188" fontId="111" fillId="0" borderId="6" xfId="1067" applyNumberFormat="1" applyFont="1" applyBorder="1"/>
    <xf numFmtId="0" fontId="111" fillId="0" borderId="0" xfId="1067" applyFont="1" applyAlignment="1">
      <alignment horizontal="center"/>
    </xf>
    <xf numFmtId="188" fontId="113" fillId="0" borderId="0" xfId="1067" applyNumberFormat="1" applyFont="1"/>
    <xf numFmtId="0" fontId="99" fillId="37" borderId="0" xfId="1068" applyFont="1" applyFill="1"/>
    <xf numFmtId="0" fontId="1" fillId="0" borderId="0" xfId="1068"/>
    <xf numFmtId="0" fontId="99" fillId="37" borderId="0" xfId="1068" applyFont="1" applyFill="1" applyAlignment="1">
      <alignment wrapText="1"/>
    </xf>
    <xf numFmtId="0" fontId="1" fillId="0" borderId="0" xfId="1068" applyAlignment="1">
      <alignment wrapText="1"/>
    </xf>
    <xf numFmtId="0" fontId="99" fillId="0" borderId="0" xfId="1068" applyFont="1"/>
    <xf numFmtId="0" fontId="116" fillId="38" borderId="0" xfId="1069" applyFont="1" applyFill="1" applyAlignment="1">
      <alignment horizontal="left"/>
    </xf>
    <xf numFmtId="0" fontId="117" fillId="38" borderId="0" xfId="1069" applyFont="1" applyFill="1" applyAlignment="1">
      <alignment horizontal="left"/>
    </xf>
    <xf numFmtId="0" fontId="117" fillId="38" borderId="0" xfId="1069" applyFont="1" applyFill="1"/>
    <xf numFmtId="0" fontId="115" fillId="38" borderId="0" xfId="1069" applyFill="1"/>
    <xf numFmtId="3" fontId="115" fillId="38" borderId="0" xfId="1069" applyNumberFormat="1" applyFill="1"/>
    <xf numFmtId="192" fontId="115" fillId="38" borderId="0" xfId="1069" applyNumberFormat="1" applyFill="1"/>
    <xf numFmtId="193" fontId="115" fillId="38" borderId="0" xfId="1069" applyNumberFormat="1" applyFill="1"/>
    <xf numFmtId="4" fontId="115" fillId="38" borderId="0" xfId="1069" applyNumberFormat="1" applyFill="1"/>
    <xf numFmtId="3" fontId="118" fillId="38" borderId="0" xfId="1069" applyNumberFormat="1" applyFont="1" applyFill="1"/>
    <xf numFmtId="193" fontId="118" fillId="38" borderId="0" xfId="1069" applyNumberFormat="1" applyFont="1" applyFill="1"/>
    <xf numFmtId="0" fontId="115" fillId="0" borderId="0" xfId="1069"/>
    <xf numFmtId="0" fontId="119" fillId="38" borderId="0" xfId="1069" applyFont="1" applyFill="1"/>
    <xf numFmtId="0" fontId="120" fillId="38" borderId="0" xfId="1069" applyFont="1" applyFill="1"/>
    <xf numFmtId="0" fontId="121" fillId="38" borderId="0" xfId="827" applyFont="1" applyFill="1"/>
    <xf numFmtId="0" fontId="122" fillId="38" borderId="0" xfId="827" applyFont="1" applyFill="1" applyAlignment="1">
      <alignment horizontal="left"/>
    </xf>
    <xf numFmtId="0" fontId="122" fillId="38" borderId="0" xfId="827" applyFont="1" applyFill="1"/>
    <xf numFmtId="3" fontId="121" fillId="38" borderId="0" xfId="827" applyNumberFormat="1" applyFont="1" applyFill="1"/>
    <xf numFmtId="192" fontId="121" fillId="38" borderId="0" xfId="827" applyNumberFormat="1" applyFont="1" applyFill="1"/>
    <xf numFmtId="0" fontId="121" fillId="38" borderId="0" xfId="827" applyFont="1" applyFill="1" applyAlignment="1">
      <alignment horizontal="left"/>
    </xf>
    <xf numFmtId="3" fontId="121" fillId="38" borderId="0" xfId="827" applyNumberFormat="1" applyFont="1" applyFill="1" applyAlignment="1">
      <alignment horizontal="left"/>
    </xf>
    <xf numFmtId="192" fontId="121" fillId="38" borderId="0" xfId="827" applyNumberFormat="1" applyFont="1" applyFill="1" applyAlignment="1">
      <alignment horizontal="left"/>
    </xf>
    <xf numFmtId="0" fontId="123" fillId="38" borderId="0" xfId="827" applyFont="1" applyFill="1"/>
    <xf numFmtId="0" fontId="124" fillId="38" borderId="0" xfId="827" applyFont="1" applyFill="1" applyAlignment="1">
      <alignment horizontal="left"/>
    </xf>
    <xf numFmtId="0" fontId="124" fillId="38" borderId="0" xfId="827" applyFont="1" applyFill="1"/>
    <xf numFmtId="3" fontId="123" fillId="38" borderId="0" xfId="827" applyNumberFormat="1" applyFont="1" applyFill="1"/>
    <xf numFmtId="192" fontId="123" fillId="38" borderId="0" xfId="827" applyNumberFormat="1" applyFont="1" applyFill="1"/>
    <xf numFmtId="0" fontId="126" fillId="38" borderId="0" xfId="1070" applyFont="1" applyFill="1" applyAlignment="1">
      <protection locked="0"/>
    </xf>
    <xf numFmtId="0" fontId="115" fillId="38" borderId="0" xfId="1069" applyFill="1" applyAlignment="1">
      <alignment wrapText="1"/>
    </xf>
    <xf numFmtId="3" fontId="127" fillId="38" borderId="0" xfId="1069" applyNumberFormat="1" applyFont="1" applyFill="1" applyAlignment="1">
      <alignment horizontal="left" vertical="top"/>
    </xf>
    <xf numFmtId="4" fontId="127" fillId="38" borderId="0" xfId="1069" applyNumberFormat="1" applyFont="1" applyFill="1" applyAlignment="1">
      <alignment horizontal="left" vertical="top"/>
    </xf>
    <xf numFmtId="0" fontId="128" fillId="38" borderId="0" xfId="1069" applyFont="1" applyFill="1" applyAlignment="1">
      <alignment horizontal="left" vertical="center"/>
    </xf>
    <xf numFmtId="3" fontId="128" fillId="38" borderId="0" xfId="1069" applyNumberFormat="1" applyFont="1" applyFill="1" applyAlignment="1">
      <alignment horizontal="left" vertical="center"/>
    </xf>
    <xf numFmtId="0" fontId="127" fillId="38" borderId="0" xfId="827" applyFont="1" applyFill="1" applyAlignment="1">
      <alignment vertical="center" wrapText="1"/>
    </xf>
    <xf numFmtId="3" fontId="127" fillId="38" borderId="0" xfId="827" applyNumberFormat="1" applyFont="1" applyFill="1" applyAlignment="1">
      <alignment vertical="center" wrapText="1"/>
    </xf>
    <xf numFmtId="193" fontId="127" fillId="38" borderId="0" xfId="827" applyNumberFormat="1" applyFont="1" applyFill="1" applyAlignment="1">
      <alignment vertical="center" wrapText="1"/>
    </xf>
    <xf numFmtId="0" fontId="127" fillId="38" borderId="0" xfId="827" applyFont="1" applyFill="1" applyAlignment="1">
      <alignment wrapText="1"/>
    </xf>
    <xf numFmtId="0" fontId="127" fillId="38" borderId="0" xfId="1069" applyFont="1" applyFill="1" applyAlignment="1">
      <alignment vertical="top" wrapText="1"/>
    </xf>
    <xf numFmtId="3" fontId="115" fillId="38" borderId="0" xfId="1069" applyNumberFormat="1" applyFill="1" applyAlignment="1">
      <alignment vertical="center" wrapText="1"/>
    </xf>
    <xf numFmtId="0" fontId="115" fillId="38" borderId="0" xfId="1069" applyFill="1" applyAlignment="1">
      <alignment vertical="center" wrapText="1"/>
    </xf>
    <xf numFmtId="193" fontId="115" fillId="38" borderId="0" xfId="1069" applyNumberFormat="1" applyFill="1" applyAlignment="1">
      <alignment vertical="center" wrapText="1"/>
    </xf>
    <xf numFmtId="3" fontId="127" fillId="38" borderId="0" xfId="1070" applyNumberFormat="1" applyFont="1" applyFill="1" applyAlignment="1">
      <alignment vertical="top"/>
      <protection locked="0"/>
    </xf>
    <xf numFmtId="4" fontId="127" fillId="38" borderId="0" xfId="1070" applyNumberFormat="1" applyFont="1" applyFill="1" applyAlignment="1">
      <alignment vertical="top"/>
      <protection locked="0"/>
    </xf>
    <xf numFmtId="0" fontId="127" fillId="38" borderId="0" xfId="1070" applyFont="1" applyFill="1" applyAlignment="1">
      <alignment horizontal="left" vertical="top" wrapText="1"/>
      <protection locked="0"/>
    </xf>
    <xf numFmtId="0" fontId="118" fillId="38" borderId="0" xfId="1069" applyFont="1" applyFill="1" applyAlignment="1">
      <alignment horizontal="center" wrapText="1"/>
    </xf>
    <xf numFmtId="0" fontId="123" fillId="38" borderId="86" xfId="827" applyFont="1" applyFill="1" applyBorder="1" applyAlignment="1">
      <alignment horizontal="center"/>
    </xf>
    <xf numFmtId="0" fontId="127" fillId="38" borderId="86" xfId="827" applyFont="1" applyFill="1" applyBorder="1" applyAlignment="1">
      <alignment horizontal="center"/>
    </xf>
    <xf numFmtId="3" fontId="127" fillId="38" borderId="86" xfId="827" applyNumberFormat="1" applyFont="1" applyFill="1" applyBorder="1" applyAlignment="1">
      <alignment horizontal="left"/>
    </xf>
    <xf numFmtId="3" fontId="127" fillId="38" borderId="86" xfId="827" applyNumberFormat="1" applyFont="1" applyFill="1" applyBorder="1" applyAlignment="1">
      <alignment horizontal="center"/>
    </xf>
    <xf numFmtId="0" fontId="115" fillId="38" borderId="86" xfId="1069" applyFill="1" applyBorder="1"/>
    <xf numFmtId="0" fontId="123" fillId="38" borderId="0" xfId="827" applyFont="1" applyFill="1" applyAlignment="1">
      <alignment horizontal="center"/>
    </xf>
    <xf numFmtId="0" fontId="127" fillId="38" borderId="0" xfId="827" applyFont="1" applyFill="1" applyAlignment="1">
      <alignment horizontal="center"/>
    </xf>
    <xf numFmtId="3" fontId="127" fillId="38" borderId="0" xfId="827" applyNumberFormat="1" applyFont="1" applyFill="1" applyAlignment="1">
      <alignment horizontal="left"/>
    </xf>
    <xf numFmtId="3" fontId="127" fillId="38" borderId="0" xfId="827" applyNumberFormat="1" applyFont="1" applyFill="1" applyAlignment="1">
      <alignment horizontal="center"/>
    </xf>
    <xf numFmtId="3" fontId="130" fillId="38" borderId="87" xfId="827" applyNumberFormat="1" applyFont="1" applyFill="1" applyBorder="1" applyAlignment="1">
      <alignment horizontal="center"/>
    </xf>
    <xf numFmtId="193" fontId="131" fillId="38" borderId="87" xfId="1069" applyNumberFormat="1" applyFont="1" applyFill="1" applyBorder="1" applyAlignment="1">
      <alignment horizontal="center"/>
    </xf>
    <xf numFmtId="0" fontId="127" fillId="38" borderId="88" xfId="1070" applyFont="1" applyFill="1" applyBorder="1" applyAlignment="1">
      <alignment horizontal="left"/>
      <protection locked="0"/>
    </xf>
    <xf numFmtId="0" fontId="127" fillId="38" borderId="88" xfId="1070" applyFont="1" applyFill="1" applyBorder="1" applyAlignment="1">
      <alignment horizontal="center"/>
      <protection locked="0"/>
    </xf>
    <xf numFmtId="0" fontId="127" fillId="38" borderId="88" xfId="1070" applyFont="1" applyFill="1" applyBorder="1" applyAlignment="1">
      <alignment horizontal="center" wrapText="1"/>
      <protection locked="0"/>
    </xf>
    <xf numFmtId="3" fontId="127" fillId="38" borderId="88" xfId="1070" applyNumberFormat="1" applyFont="1" applyFill="1" applyBorder="1" applyAlignment="1">
      <alignment horizontal="center" wrapText="1"/>
      <protection locked="0"/>
    </xf>
    <xf numFmtId="3" fontId="127" fillId="38" borderId="0" xfId="1070" applyNumberFormat="1" applyFont="1" applyFill="1" applyAlignment="1">
      <alignment horizontal="center" wrapText="1"/>
      <protection locked="0"/>
    </xf>
    <xf numFmtId="3" fontId="127" fillId="38" borderId="88" xfId="827" applyNumberFormat="1" applyFont="1" applyFill="1" applyBorder="1" applyAlignment="1">
      <alignment horizontal="center" wrapText="1"/>
    </xf>
    <xf numFmtId="192" fontId="127" fillId="38" borderId="88" xfId="827" applyNumberFormat="1" applyFont="1" applyFill="1" applyBorder="1" applyAlignment="1">
      <alignment horizontal="center" wrapText="1"/>
    </xf>
    <xf numFmtId="193" fontId="127" fillId="38" borderId="87" xfId="1070" applyNumberFormat="1" applyFont="1" applyFill="1" applyBorder="1" applyAlignment="1">
      <alignment horizontal="center" wrapText="1"/>
      <protection locked="0"/>
    </xf>
    <xf numFmtId="193" fontId="127" fillId="38" borderId="0" xfId="1070" applyNumberFormat="1" applyFont="1" applyFill="1" applyAlignment="1">
      <alignment horizontal="center" wrapText="1"/>
      <protection locked="0"/>
    </xf>
    <xf numFmtId="3" fontId="127" fillId="38" borderId="87" xfId="1070" applyNumberFormat="1" applyFont="1" applyFill="1" applyBorder="1" applyAlignment="1">
      <alignment horizontal="center" wrapText="1"/>
      <protection locked="0"/>
    </xf>
    <xf numFmtId="192" fontId="127" fillId="38" borderId="87" xfId="1070" applyNumberFormat="1" applyFont="1" applyFill="1" applyBorder="1" applyAlignment="1">
      <alignment horizontal="center" wrapText="1"/>
      <protection locked="0"/>
    </xf>
    <xf numFmtId="3" fontId="130" fillId="39" borderId="87" xfId="1069" applyNumberFormat="1" applyFont="1" applyFill="1" applyBorder="1" applyAlignment="1">
      <alignment horizontal="center" wrapText="1"/>
    </xf>
    <xf numFmtId="193" fontId="130" fillId="38" borderId="87" xfId="1069" applyNumberFormat="1" applyFont="1" applyFill="1" applyBorder="1" applyAlignment="1">
      <alignment horizontal="center" wrapText="1"/>
    </xf>
    <xf numFmtId="0" fontId="127" fillId="38" borderId="0" xfId="1069" applyFont="1" applyFill="1" applyAlignment="1">
      <alignment horizontal="right"/>
    </xf>
    <xf numFmtId="0" fontId="127" fillId="38" borderId="0" xfId="1069" applyFont="1" applyFill="1" applyAlignment="1">
      <alignment horizontal="center"/>
    </xf>
    <xf numFmtId="0" fontId="127" fillId="38" borderId="0" xfId="1069" applyFont="1" applyFill="1"/>
    <xf numFmtId="14" fontId="127" fillId="38" borderId="0" xfId="1069" applyNumberFormat="1" applyFont="1" applyFill="1"/>
    <xf numFmtId="168" fontId="127" fillId="38" borderId="0" xfId="1069" applyNumberFormat="1" applyFont="1" applyFill="1" applyAlignment="1">
      <alignment horizontal="right"/>
    </xf>
    <xf numFmtId="3" fontId="127" fillId="38" borderId="0" xfId="1069" applyNumberFormat="1" applyFont="1" applyFill="1"/>
    <xf numFmtId="167" fontId="127" fillId="38" borderId="0" xfId="1069" applyNumberFormat="1" applyFont="1" applyFill="1" applyAlignment="1">
      <alignment horizontal="right"/>
    </xf>
    <xf numFmtId="166" fontId="127" fillId="38" borderId="0" xfId="1069" applyNumberFormat="1" applyFont="1" applyFill="1" applyAlignment="1">
      <alignment horizontal="right"/>
    </xf>
    <xf numFmtId="4" fontId="127" fillId="38" borderId="0" xfId="1069" applyNumberFormat="1" applyFont="1" applyFill="1" applyAlignment="1">
      <alignment horizontal="right"/>
    </xf>
    <xf numFmtId="3" fontId="130" fillId="38" borderId="0" xfId="1069" applyNumberFormat="1" applyFont="1" applyFill="1" applyAlignment="1">
      <alignment horizontal="right"/>
    </xf>
    <xf numFmtId="166" fontId="130" fillId="38" borderId="0" xfId="1069" applyNumberFormat="1" applyFont="1" applyFill="1" applyAlignment="1">
      <alignment horizontal="right"/>
    </xf>
    <xf numFmtId="0" fontId="130" fillId="38" borderId="0" xfId="1069" applyFont="1" applyFill="1" applyAlignment="1">
      <alignment horizontal="right"/>
    </xf>
    <xf numFmtId="0" fontId="130" fillId="38" borderId="0" xfId="1069" applyFont="1" applyFill="1" applyAlignment="1">
      <alignment horizontal="center"/>
    </xf>
    <xf numFmtId="0" fontId="130" fillId="38" borderId="0" xfId="1069" applyFont="1" applyFill="1"/>
    <xf numFmtId="14" fontId="130" fillId="38" borderId="0" xfId="1069" applyNumberFormat="1" applyFont="1" applyFill="1"/>
    <xf numFmtId="168" fontId="130" fillId="38" borderId="0" xfId="1069" applyNumberFormat="1" applyFont="1" applyFill="1" applyAlignment="1">
      <alignment horizontal="right"/>
    </xf>
    <xf numFmtId="3" fontId="130" fillId="38" borderId="0" xfId="1069" applyNumberFormat="1" applyFont="1" applyFill="1"/>
    <xf numFmtId="167" fontId="130" fillId="38" borderId="0" xfId="1071" applyNumberFormat="1" applyFont="1" applyFill="1" applyAlignment="1">
      <alignment horizontal="right"/>
    </xf>
    <xf numFmtId="4" fontId="130" fillId="38" borderId="0" xfId="1069" applyNumberFormat="1" applyFont="1" applyFill="1" applyAlignment="1">
      <alignment horizontal="right"/>
    </xf>
    <xf numFmtId="167" fontId="130" fillId="38" borderId="0" xfId="1069" applyNumberFormat="1" applyFont="1" applyFill="1" applyAlignment="1">
      <alignment horizontal="right"/>
    </xf>
    <xf numFmtId="0" fontId="118" fillId="0" borderId="0" xfId="1069" applyFont="1"/>
    <xf numFmtId="0" fontId="25" fillId="0" borderId="0" xfId="0" applyFont="1" applyFill="1" applyProtection="1"/>
    <xf numFmtId="0" fontId="136" fillId="0" borderId="0" xfId="0" applyFont="1"/>
    <xf numFmtId="166" fontId="136" fillId="0" borderId="0" xfId="0" applyNumberFormat="1" applyFont="1"/>
    <xf numFmtId="0" fontId="2" fillId="0" borderId="0" xfId="0" applyFont="1"/>
    <xf numFmtId="0" fontId="132" fillId="0" borderId="0" xfId="0" applyFont="1" applyAlignment="1" applyProtection="1">
      <alignment horizontal="left" vertical="center"/>
    </xf>
    <xf numFmtId="0" fontId="5" fillId="0" borderId="0" xfId="0" applyFont="1" applyAlignment="1" applyProtection="1">
      <alignment horizontal="center" vertical="center"/>
    </xf>
    <xf numFmtId="0" fontId="0" fillId="0" borderId="0" xfId="0" applyProtection="1"/>
    <xf numFmtId="0" fontId="0" fillId="0" borderId="0" xfId="0" applyAlignment="1" applyProtection="1"/>
    <xf numFmtId="0" fontId="6" fillId="0" borderId="0" xfId="0" applyFont="1" applyAlignment="1" applyProtection="1">
      <alignment horizontal="right"/>
    </xf>
    <xf numFmtId="0" fontId="17" fillId="0" borderId="0" xfId="0" applyFont="1" applyAlignment="1" applyProtection="1">
      <alignment horizontal="right"/>
    </xf>
    <xf numFmtId="0" fontId="16" fillId="40" borderId="35" xfId="930" applyNumberFormat="1" applyFont="1" applyFill="1" applyBorder="1" applyAlignment="1" applyProtection="1">
      <alignment horizontal="center"/>
    </xf>
    <xf numFmtId="0" fontId="0" fillId="0" borderId="20" xfId="0" applyBorder="1" applyProtection="1"/>
    <xf numFmtId="0" fontId="0" fillId="0" borderId="30" xfId="0" applyBorder="1" applyProtection="1"/>
    <xf numFmtId="0" fontId="0" fillId="0" borderId="41" xfId="0" applyBorder="1" applyProtection="1"/>
    <xf numFmtId="0" fontId="7" fillId="40" borderId="21" xfId="0" applyFont="1" applyFill="1" applyBorder="1" applyAlignment="1" applyProtection="1">
      <alignment horizontal="center" vertical="center"/>
    </xf>
    <xf numFmtId="0" fontId="7" fillId="40" borderId="31" xfId="0" applyFont="1" applyFill="1" applyBorder="1" applyAlignment="1" applyProtection="1">
      <alignment horizontal="center" vertical="center"/>
    </xf>
    <xf numFmtId="0" fontId="100" fillId="0" borderId="35" xfId="0" applyFont="1" applyBorder="1" applyAlignment="1" applyProtection="1">
      <alignment horizontal="center" vertical="center" wrapText="1"/>
    </xf>
    <xf numFmtId="0" fontId="7" fillId="40" borderId="55" xfId="0" applyFont="1" applyFill="1" applyBorder="1" applyAlignment="1" applyProtection="1">
      <alignment horizontal="center" vertical="center"/>
    </xf>
    <xf numFmtId="0" fontId="7" fillId="40" borderId="56" xfId="0" applyFont="1" applyFill="1" applyBorder="1" applyAlignment="1" applyProtection="1">
      <alignment horizontal="center" vertical="center"/>
    </xf>
    <xf numFmtId="0" fontId="7" fillId="40" borderId="57" xfId="0" applyFont="1" applyFill="1" applyBorder="1" applyAlignment="1" applyProtection="1">
      <alignment horizontal="center" vertical="center" wrapText="1"/>
    </xf>
    <xf numFmtId="0" fontId="9" fillId="0" borderId="21" xfId="0" applyFont="1" applyBorder="1" applyProtection="1"/>
    <xf numFmtId="0" fontId="0" fillId="0" borderId="31" xfId="0" applyBorder="1" applyProtection="1"/>
    <xf numFmtId="0" fontId="10" fillId="0" borderId="35" xfId="0" applyFont="1" applyBorder="1" applyProtection="1"/>
    <xf numFmtId="0" fontId="0" fillId="0" borderId="42" xfId="0" applyBorder="1" applyProtection="1"/>
    <xf numFmtId="0" fontId="0" fillId="0" borderId="43" xfId="0" applyBorder="1" applyProtection="1"/>
    <xf numFmtId="0" fontId="0" fillId="0" borderId="44" xfId="0" applyBorder="1" applyProtection="1"/>
    <xf numFmtId="0" fontId="12" fillId="0" borderId="21" xfId="0" applyFont="1" applyBorder="1" applyProtection="1"/>
    <xf numFmtId="0" fontId="11" fillId="0" borderId="31" xfId="0" applyFont="1" applyBorder="1" applyAlignment="1" applyProtection="1">
      <alignment horizontal="left" wrapText="1"/>
    </xf>
    <xf numFmtId="10" fontId="14" fillId="0" borderId="35" xfId="930" applyNumberFormat="1" applyFont="1" applyBorder="1" applyProtection="1"/>
    <xf numFmtId="10" fontId="11" fillId="0" borderId="33" xfId="930" applyNumberFormat="1" applyFont="1" applyBorder="1" applyProtection="1"/>
    <xf numFmtId="10" fontId="12" fillId="0" borderId="6" xfId="930" applyNumberFormat="1" applyFont="1" applyBorder="1" applyProtection="1"/>
    <xf numFmtId="10" fontId="12" fillId="0" borderId="22" xfId="930" applyNumberFormat="1" applyFont="1" applyBorder="1" applyProtection="1"/>
    <xf numFmtId="0" fontId="11" fillId="0" borderId="31" xfId="0" applyFont="1" applyBorder="1" applyAlignment="1" applyProtection="1">
      <alignment horizontal="left" vertical="top" wrapText="1"/>
    </xf>
    <xf numFmtId="164" fontId="14" fillId="0" borderId="35" xfId="930" applyNumberFormat="1" applyFont="1" applyBorder="1" applyProtection="1"/>
    <xf numFmtId="164" fontId="12" fillId="0" borderId="33" xfId="930" applyNumberFormat="1" applyFont="1" applyBorder="1" applyProtection="1"/>
    <xf numFmtId="164" fontId="12" fillId="0" borderId="6" xfId="930" applyNumberFormat="1" applyFont="1" applyBorder="1" applyProtection="1"/>
    <xf numFmtId="164" fontId="12" fillId="0" borderId="22" xfId="930" applyNumberFormat="1" applyFont="1" applyBorder="1" applyProtection="1"/>
    <xf numFmtId="0" fontId="0" fillId="0" borderId="33" xfId="0" applyBorder="1" applyProtection="1"/>
    <xf numFmtId="0" fontId="0" fillId="0" borderId="6" xfId="0" applyBorder="1" applyProtection="1"/>
    <xf numFmtId="0" fontId="0" fillId="0" borderId="22" xfId="0" applyBorder="1" applyProtection="1"/>
    <xf numFmtId="10" fontId="12" fillId="0" borderId="33" xfId="930" applyNumberFormat="1" applyFont="1" applyFill="1" applyBorder="1" applyProtection="1"/>
    <xf numFmtId="10" fontId="12" fillId="0" borderId="6" xfId="930" applyNumberFormat="1" applyFont="1" applyFill="1" applyBorder="1" applyProtection="1"/>
    <xf numFmtId="10" fontId="12" fillId="0" borderId="22" xfId="930" applyNumberFormat="1" applyFont="1" applyFill="1" applyBorder="1" applyProtection="1"/>
    <xf numFmtId="164" fontId="12" fillId="0" borderId="33" xfId="930" applyNumberFormat="1" applyFont="1" applyFill="1" applyBorder="1" applyProtection="1"/>
    <xf numFmtId="164" fontId="12" fillId="0" borderId="6" xfId="930" applyNumberFormat="1" applyFont="1" applyFill="1" applyBorder="1" applyProtection="1"/>
    <xf numFmtId="164" fontId="12" fillId="0" borderId="22" xfId="930" applyNumberFormat="1" applyFont="1" applyFill="1" applyBorder="1" applyProtection="1"/>
    <xf numFmtId="0" fontId="0" fillId="0" borderId="33" xfId="0" applyFill="1" applyBorder="1" applyProtection="1"/>
    <xf numFmtId="0" fontId="0" fillId="0" borderId="6" xfId="0" applyFill="1" applyBorder="1" applyProtection="1"/>
    <xf numFmtId="0" fontId="0" fillId="0" borderId="22" xfId="0" applyFill="1" applyBorder="1" applyProtection="1"/>
    <xf numFmtId="0" fontId="0" fillId="0" borderId="35" xfId="0" applyBorder="1" applyProtection="1"/>
    <xf numFmtId="0" fontId="11" fillId="0" borderId="21" xfId="0" applyFont="1" applyBorder="1" applyAlignment="1" applyProtection="1">
      <alignment wrapText="1"/>
    </xf>
    <xf numFmtId="0" fontId="11" fillId="0" borderId="31" xfId="0" applyFont="1" applyBorder="1" applyProtection="1"/>
    <xf numFmtId="0" fontId="11" fillId="0" borderId="21" xfId="0" applyFont="1" applyBorder="1" applyProtection="1"/>
    <xf numFmtId="0" fontId="15" fillId="0" borderId="35" xfId="0" applyFont="1" applyBorder="1" applyProtection="1"/>
    <xf numFmtId="0" fontId="11" fillId="0" borderId="33" xfId="0" applyFont="1" applyFill="1" applyBorder="1" applyProtection="1"/>
    <xf numFmtId="0" fontId="11" fillId="0" borderId="6" xfId="0" applyFont="1" applyFill="1" applyBorder="1" applyProtection="1"/>
    <xf numFmtId="0" fontId="11" fillId="0" borderId="22" xfId="0" applyFont="1" applyFill="1" applyBorder="1" applyProtection="1"/>
    <xf numFmtId="0" fontId="7" fillId="0" borderId="21" xfId="0" applyFont="1" applyBorder="1" applyProtection="1"/>
    <xf numFmtId="164" fontId="11" fillId="0" borderId="33" xfId="930" applyNumberFormat="1" applyFont="1" applyFill="1" applyBorder="1" applyProtection="1"/>
    <xf numFmtId="164" fontId="11" fillId="0" borderId="6" xfId="930" applyNumberFormat="1" applyFont="1" applyFill="1" applyBorder="1" applyProtection="1"/>
    <xf numFmtId="164" fontId="11" fillId="0" borderId="22" xfId="930" applyNumberFormat="1" applyFont="1" applyFill="1" applyBorder="1" applyProtection="1"/>
    <xf numFmtId="0" fontId="11" fillId="0" borderId="21" xfId="0" applyFont="1" applyFill="1" applyBorder="1" applyProtection="1"/>
    <xf numFmtId="0" fontId="11" fillId="0" borderId="31" xfId="0" applyFont="1" applyFill="1" applyBorder="1" applyAlignment="1" applyProtection="1">
      <alignment horizontal="left" vertical="top" wrapText="1"/>
    </xf>
    <xf numFmtId="10" fontId="14" fillId="0" borderId="35" xfId="930" applyNumberFormat="1" applyFont="1" applyFill="1" applyBorder="1" applyProtection="1"/>
    <xf numFmtId="164" fontId="14" fillId="0" borderId="35" xfId="930" applyNumberFormat="1" applyFont="1" applyFill="1" applyBorder="1" applyProtection="1"/>
    <xf numFmtId="0" fontId="16" fillId="0" borderId="35" xfId="0" applyFont="1" applyBorder="1" applyProtection="1"/>
    <xf numFmtId="164" fontId="100" fillId="0" borderId="35" xfId="930" applyNumberFormat="1" applyFont="1" applyBorder="1" applyProtection="1"/>
    <xf numFmtId="1" fontId="100" fillId="0" borderId="35" xfId="930" applyNumberFormat="1" applyFont="1" applyFill="1" applyBorder="1" applyAlignment="1" applyProtection="1">
      <alignment horizontal="center"/>
    </xf>
    <xf numFmtId="1" fontId="100" fillId="0" borderId="33" xfId="930" applyNumberFormat="1" applyFont="1" applyFill="1" applyBorder="1" applyProtection="1"/>
    <xf numFmtId="1" fontId="100" fillId="0" borderId="6" xfId="930" applyNumberFormat="1" applyFont="1" applyFill="1" applyBorder="1" applyProtection="1"/>
    <xf numFmtId="1" fontId="100" fillId="0" borderId="22" xfId="930" applyNumberFormat="1" applyFont="1" applyFill="1" applyBorder="1" applyProtection="1"/>
    <xf numFmtId="0" fontId="11" fillId="0" borderId="23" xfId="0" applyFont="1" applyBorder="1" applyProtection="1"/>
    <xf numFmtId="0" fontId="11" fillId="0" borderId="32" xfId="0" applyFont="1" applyBorder="1" applyProtection="1"/>
    <xf numFmtId="0" fontId="11" fillId="0" borderId="36" xfId="0" applyFont="1" applyBorder="1" applyProtection="1"/>
    <xf numFmtId="0" fontId="11" fillId="0" borderId="34" xfId="0" applyFont="1" applyBorder="1" applyProtection="1"/>
    <xf numFmtId="0" fontId="11" fillId="0" borderId="24" xfId="0" applyFont="1" applyBorder="1" applyProtection="1"/>
    <xf numFmtId="0" fontId="11" fillId="0" borderId="25" xfId="0" applyFont="1" applyBorder="1" applyProtection="1"/>
    <xf numFmtId="0" fontId="0" fillId="0" borderId="0" xfId="0" applyAlignment="1" applyProtection="1">
      <alignment horizontal="center"/>
    </xf>
    <xf numFmtId="0" fontId="7" fillId="0" borderId="0" xfId="0" applyFont="1" applyFill="1" applyAlignment="1" applyProtection="1">
      <alignment horizontal="left"/>
    </xf>
    <xf numFmtId="0" fontId="0" fillId="0" borderId="0" xfId="0" applyFill="1" applyAlignment="1" applyProtection="1">
      <alignment horizontal="left"/>
    </xf>
    <xf numFmtId="0" fontId="0" fillId="0" borderId="0" xfId="0" applyFill="1" applyProtection="1"/>
    <xf numFmtId="0" fontId="17" fillId="37" borderId="0" xfId="0" applyFont="1" applyFill="1" applyAlignment="1" applyProtection="1">
      <alignment horizontal="center" vertical="center" wrapText="1"/>
    </xf>
    <xf numFmtId="188" fontId="0" fillId="0" borderId="0" xfId="0" applyNumberFormat="1" applyFill="1" applyProtection="1"/>
    <xf numFmtId="166" fontId="11" fillId="0" borderId="45" xfId="0" applyNumberFormat="1" applyFont="1" applyFill="1" applyBorder="1" applyAlignment="1" applyProtection="1">
      <alignment horizontal="center"/>
    </xf>
    <xf numFmtId="0" fontId="106" fillId="41" borderId="6" xfId="0" applyFont="1" applyFill="1" applyBorder="1" applyAlignment="1" applyProtection="1">
      <alignment vertical="center" wrapText="1" shrinkToFit="1"/>
    </xf>
    <xf numFmtId="0" fontId="106" fillId="41" borderId="6" xfId="0" applyFont="1" applyFill="1" applyBorder="1" applyAlignment="1" applyProtection="1">
      <alignment horizontal="center" vertical="center" wrapText="1" shrinkToFit="1"/>
    </xf>
    <xf numFmtId="0" fontId="7" fillId="37" borderId="0" xfId="0" applyFont="1" applyFill="1" applyAlignment="1" applyProtection="1">
      <alignment horizontal="center" vertical="center" wrapText="1" shrinkToFit="1"/>
    </xf>
    <xf numFmtId="0" fontId="107" fillId="41" borderId="0" xfId="0" applyFont="1" applyFill="1" applyAlignment="1" applyProtection="1">
      <alignment horizontal="center" vertical="top" wrapText="1"/>
    </xf>
    <xf numFmtId="188" fontId="107" fillId="41" borderId="0" xfId="0" applyNumberFormat="1" applyFont="1" applyFill="1" applyAlignment="1" applyProtection="1">
      <alignment horizontal="center" vertical="top" wrapText="1"/>
    </xf>
    <xf numFmtId="167" fontId="19" fillId="0" borderId="26" xfId="0" applyNumberFormat="1" applyFont="1" applyBorder="1" applyAlignment="1" applyProtection="1">
      <alignment horizontal="left" vertical="top" wrapText="1"/>
    </xf>
    <xf numFmtId="166" fontId="19" fillId="0" borderId="27" xfId="0" applyNumberFormat="1" applyFont="1" applyBorder="1" applyAlignment="1" applyProtection="1">
      <alignment horizontal="left" vertical="top" wrapText="1"/>
    </xf>
    <xf numFmtId="167" fontId="134" fillId="0" borderId="26" xfId="0" applyNumberFormat="1" applyFont="1" applyBorder="1" applyAlignment="1" applyProtection="1">
      <alignment horizontal="left" vertical="top" wrapText="1"/>
    </xf>
    <xf numFmtId="166" fontId="134" fillId="0" borderId="27" xfId="0" applyNumberFormat="1" applyFont="1" applyBorder="1" applyAlignment="1" applyProtection="1">
      <alignment horizontal="left" vertical="top" wrapText="1"/>
    </xf>
    <xf numFmtId="166" fontId="134" fillId="0" borderId="54" xfId="0" applyNumberFormat="1" applyFont="1" applyBorder="1" applyAlignment="1" applyProtection="1">
      <alignment horizontal="left" vertical="top" wrapText="1"/>
    </xf>
    <xf numFmtId="167" fontId="101" fillId="0" borderId="26" xfId="0" applyNumberFormat="1" applyFont="1" applyBorder="1" applyAlignment="1" applyProtection="1">
      <alignment horizontal="left" vertical="top" wrapText="1"/>
    </xf>
    <xf numFmtId="166" fontId="101" fillId="0" borderId="27" xfId="0" applyNumberFormat="1" applyFont="1" applyBorder="1" applyAlignment="1" applyProtection="1">
      <alignment horizontal="left" vertical="top" wrapText="1"/>
    </xf>
    <xf numFmtId="167" fontId="101" fillId="0" borderId="26" xfId="0" applyNumberFormat="1" applyFont="1" applyBorder="1" applyAlignment="1" applyProtection="1">
      <alignment horizontal="center" vertical="top" wrapText="1"/>
    </xf>
    <xf numFmtId="167" fontId="101" fillId="0" borderId="15" xfId="0" applyNumberFormat="1" applyFont="1" applyBorder="1" applyAlignment="1" applyProtection="1">
      <alignment horizontal="left" vertical="top" wrapText="1"/>
    </xf>
    <xf numFmtId="0" fontId="101" fillId="0" borderId="27" xfId="0" applyFont="1" applyBorder="1" applyAlignment="1" applyProtection="1">
      <alignment horizontal="left" vertical="top" wrapText="1"/>
    </xf>
    <xf numFmtId="167" fontId="134" fillId="0" borderId="15" xfId="0" applyNumberFormat="1" applyFont="1" applyBorder="1" applyAlignment="1" applyProtection="1">
      <alignment horizontal="left" vertical="top" wrapText="1"/>
    </xf>
    <xf numFmtId="0" fontId="134" fillId="0" borderId="27" xfId="0" applyFont="1" applyBorder="1" applyAlignment="1" applyProtection="1">
      <alignment horizontal="left" vertical="top" wrapText="1"/>
    </xf>
    <xf numFmtId="0" fontId="134" fillId="0" borderId="26" xfId="0" applyFont="1" applyBorder="1" applyAlignment="1" applyProtection="1">
      <alignment horizontal="left" vertical="top" wrapText="1"/>
    </xf>
    <xf numFmtId="0" fontId="134" fillId="0" borderId="15" xfId="0" applyFont="1" applyBorder="1" applyAlignment="1" applyProtection="1">
      <alignment horizontal="left" vertical="top" wrapText="1"/>
    </xf>
    <xf numFmtId="0" fontId="101" fillId="0" borderId="26" xfId="0" applyFont="1" applyBorder="1" applyAlignment="1" applyProtection="1">
      <alignment horizontal="left" vertical="top" wrapText="1"/>
    </xf>
    <xf numFmtId="0" fontId="101" fillId="0" borderId="15" xfId="0" applyFont="1" applyBorder="1" applyAlignment="1" applyProtection="1">
      <alignment horizontal="left" vertical="top" wrapText="1"/>
    </xf>
    <xf numFmtId="0" fontId="134" fillId="0" borderId="26" xfId="0" applyFont="1" applyBorder="1" applyAlignment="1" applyProtection="1">
      <alignment horizontal="center" vertical="top" wrapText="1"/>
    </xf>
    <xf numFmtId="0" fontId="134" fillId="0" borderId="58" xfId="0" applyFont="1" applyBorder="1" applyAlignment="1" applyProtection="1">
      <alignment horizontal="left" vertical="top" wrapText="1"/>
    </xf>
    <xf numFmtId="166" fontId="107" fillId="41" borderId="45" xfId="0" applyNumberFormat="1" applyFont="1" applyFill="1" applyBorder="1" applyAlignment="1" applyProtection="1">
      <alignment horizontal="center" wrapText="1"/>
    </xf>
    <xf numFmtId="0" fontId="2" fillId="0" borderId="0" xfId="0" applyFont="1" applyFill="1" applyProtection="1"/>
    <xf numFmtId="0" fontId="2" fillId="0" borderId="0" xfId="312" applyNumberFormat="1" applyFont="1" applyFill="1" applyBorder="1" applyAlignment="1" applyProtection="1">
      <alignment horizontal="center" wrapText="1"/>
    </xf>
    <xf numFmtId="0" fontId="2" fillId="0" borderId="0" xfId="0" applyFont="1" applyFill="1" applyAlignment="1" applyProtection="1">
      <alignment vertical="center" wrapText="1" shrinkToFit="1"/>
    </xf>
    <xf numFmtId="188" fontId="91" fillId="0" borderId="75" xfId="0" applyNumberFormat="1" applyFont="1" applyFill="1" applyBorder="1" applyAlignment="1" applyProtection="1">
      <alignment vertical="top" wrapText="1" readingOrder="1"/>
    </xf>
    <xf numFmtId="188" fontId="2" fillId="0" borderId="0" xfId="0" applyNumberFormat="1" applyFont="1" applyFill="1" applyProtection="1"/>
    <xf numFmtId="188" fontId="2" fillId="0" borderId="0" xfId="312" applyNumberFormat="1" applyFont="1" applyFill="1" applyProtection="1"/>
    <xf numFmtId="1" fontId="2" fillId="0" borderId="0" xfId="0" applyNumberFormat="1" applyFont="1" applyFill="1" applyProtection="1"/>
    <xf numFmtId="10" fontId="20" fillId="0" borderId="59" xfId="930" applyNumberFormat="1" applyFont="1" applyFill="1" applyBorder="1" applyProtection="1"/>
    <xf numFmtId="164" fontId="20" fillId="0" borderId="54" xfId="0" applyNumberFormat="1" applyFont="1" applyFill="1" applyBorder="1" applyProtection="1"/>
    <xf numFmtId="10" fontId="135" fillId="0" borderId="59" xfId="930" applyNumberFormat="1" applyFont="1" applyFill="1" applyBorder="1" applyProtection="1"/>
    <xf numFmtId="164" fontId="135" fillId="0" borderId="54" xfId="0" applyNumberFormat="1" applyFont="1" applyFill="1" applyBorder="1" applyProtection="1"/>
    <xf numFmtId="164" fontId="135" fillId="0" borderId="0" xfId="930" applyNumberFormat="1" applyFont="1" applyFill="1" applyBorder="1" applyProtection="1"/>
    <xf numFmtId="10" fontId="102" fillId="0" borderId="0" xfId="930" applyNumberFormat="1" applyFont="1" applyFill="1" applyBorder="1" applyProtection="1"/>
    <xf numFmtId="164" fontId="102" fillId="0" borderId="54" xfId="0" applyNumberFormat="1" applyFont="1" applyFill="1" applyBorder="1" applyProtection="1"/>
    <xf numFmtId="10" fontId="102" fillId="0" borderId="59" xfId="930" applyNumberFormat="1" applyFont="1" applyFill="1" applyBorder="1" applyProtection="1"/>
    <xf numFmtId="10" fontId="135" fillId="0" borderId="0" xfId="930" applyNumberFormat="1" applyFont="1" applyFill="1" applyBorder="1" applyProtection="1"/>
    <xf numFmtId="194" fontId="135" fillId="0" borderId="54" xfId="0" applyNumberFormat="1" applyFont="1" applyFill="1" applyBorder="1" applyProtection="1"/>
    <xf numFmtId="164" fontId="102" fillId="0" borderId="54" xfId="930" applyNumberFormat="1" applyFont="1" applyFill="1" applyBorder="1" applyProtection="1"/>
    <xf numFmtId="1" fontId="2" fillId="0" borderId="0" xfId="0" applyNumberFormat="1" applyFont="1" applyFill="1" applyBorder="1" applyAlignment="1" applyProtection="1">
      <alignment horizontal="center"/>
    </xf>
    <xf numFmtId="0" fontId="3" fillId="0" borderId="0" xfId="0" applyFont="1" applyFill="1" applyBorder="1" applyProtection="1"/>
    <xf numFmtId="0" fontId="0" fillId="0" borderId="0" xfId="0" applyFont="1" applyFill="1" applyAlignment="1" applyProtection="1">
      <alignment vertical="center" wrapText="1" shrinkToFit="1"/>
    </xf>
    <xf numFmtId="0" fontId="101" fillId="0" borderId="38" xfId="0" applyFont="1" applyFill="1" applyBorder="1" applyProtection="1"/>
    <xf numFmtId="0" fontId="21" fillId="0" borderId="38" xfId="0" applyFont="1" applyFill="1" applyBorder="1" applyProtection="1"/>
    <xf numFmtId="0" fontId="21" fillId="0" borderId="38" xfId="0" applyFont="1" applyFill="1" applyBorder="1" applyAlignment="1" applyProtection="1">
      <alignment horizontal="right"/>
    </xf>
    <xf numFmtId="188" fontId="17" fillId="0" borderId="38" xfId="312" applyNumberFormat="1" applyFont="1" applyFill="1" applyBorder="1" applyProtection="1"/>
    <xf numFmtId="0" fontId="0" fillId="0" borderId="38" xfId="0" applyFill="1" applyBorder="1" applyProtection="1"/>
    <xf numFmtId="10" fontId="8" fillId="0" borderId="60" xfId="930" applyNumberFormat="1" applyFont="1" applyFill="1" applyBorder="1" applyProtection="1"/>
    <xf numFmtId="164" fontId="8" fillId="0" borderId="61" xfId="930" applyNumberFormat="1" applyFont="1" applyFill="1" applyBorder="1" applyProtection="1"/>
    <xf numFmtId="10" fontId="133" fillId="0" borderId="60" xfId="930" applyNumberFormat="1" applyFont="1" applyFill="1" applyBorder="1" applyProtection="1"/>
    <xf numFmtId="164" fontId="133" fillId="0" borderId="61" xfId="930" applyNumberFormat="1" applyFont="1" applyFill="1" applyBorder="1" applyProtection="1"/>
    <xf numFmtId="164" fontId="133" fillId="0" borderId="38" xfId="930" applyNumberFormat="1" applyFont="1" applyFill="1" applyBorder="1" applyProtection="1"/>
    <xf numFmtId="10" fontId="100" fillId="0" borderId="38" xfId="930" applyNumberFormat="1" applyFont="1" applyFill="1" applyBorder="1" applyProtection="1"/>
    <xf numFmtId="164" fontId="100" fillId="0" borderId="61" xfId="0" applyNumberFormat="1" applyFont="1" applyFill="1" applyBorder="1" applyProtection="1"/>
    <xf numFmtId="164" fontId="133" fillId="0" borderId="61" xfId="0" applyNumberFormat="1" applyFont="1" applyFill="1" applyBorder="1" applyProtection="1"/>
    <xf numFmtId="10" fontId="100" fillId="0" borderId="60" xfId="930" applyNumberFormat="1" applyFont="1" applyFill="1" applyBorder="1" applyProtection="1"/>
    <xf numFmtId="10" fontId="133" fillId="0" borderId="38" xfId="930" applyNumberFormat="1" applyFont="1" applyFill="1" applyBorder="1" applyProtection="1"/>
    <xf numFmtId="194" fontId="133" fillId="0" borderId="61" xfId="0" applyNumberFormat="1" applyFont="1" applyFill="1" applyBorder="1" applyProtection="1"/>
    <xf numFmtId="188" fontId="17" fillId="0" borderId="38" xfId="312" applyNumberFormat="1" applyFont="1" applyFill="1" applyBorder="1" applyAlignment="1" applyProtection="1">
      <alignment horizontal="center"/>
    </xf>
    <xf numFmtId="0" fontId="24" fillId="0" borderId="0" xfId="0" applyFont="1" applyFill="1" applyProtection="1"/>
    <xf numFmtId="0" fontId="24" fillId="0" borderId="0" xfId="312" applyNumberFormat="1" applyFont="1" applyFill="1" applyBorder="1" applyAlignment="1" applyProtection="1">
      <alignment horizontal="center" wrapText="1"/>
    </xf>
    <xf numFmtId="0" fontId="24" fillId="0" borderId="0" xfId="0" applyFont="1" applyFill="1" applyAlignment="1" applyProtection="1">
      <alignment vertical="center" wrapText="1" shrinkToFit="1"/>
    </xf>
    <xf numFmtId="188" fontId="24" fillId="0" borderId="0" xfId="0" applyNumberFormat="1" applyFont="1" applyFill="1" applyProtection="1"/>
    <xf numFmtId="0" fontId="24" fillId="0" borderId="0" xfId="0" applyFont="1" applyFill="1" applyBorder="1" applyProtection="1"/>
    <xf numFmtId="0" fontId="25" fillId="0" borderId="0" xfId="312" applyNumberFormat="1" applyFont="1" applyFill="1" applyBorder="1" applyAlignment="1" applyProtection="1">
      <alignment horizontal="center" wrapText="1"/>
    </xf>
    <xf numFmtId="0" fontId="0" fillId="0" borderId="0" xfId="0" applyNumberFormat="1" applyFill="1" applyBorder="1" applyAlignment="1" applyProtection="1"/>
    <xf numFmtId="188" fontId="25" fillId="0" borderId="0" xfId="0" applyNumberFormat="1" applyFont="1" applyFill="1" applyProtection="1"/>
    <xf numFmtId="0" fontId="3" fillId="0" borderId="0" xfId="0" applyFont="1" applyFill="1" applyProtection="1"/>
    <xf numFmtId="0" fontId="3" fillId="0" borderId="4" xfId="0" applyFont="1" applyFill="1" applyBorder="1" applyProtection="1"/>
    <xf numFmtId="0" fontId="108" fillId="0" borderId="78" xfId="0" applyFont="1" applyFill="1" applyBorder="1" applyAlignment="1" applyProtection="1">
      <alignment vertical="top" wrapText="1" readingOrder="1"/>
    </xf>
    <xf numFmtId="164" fontId="135" fillId="0" borderId="27" xfId="0" applyNumberFormat="1" applyFont="1" applyFill="1" applyBorder="1" applyProtection="1"/>
    <xf numFmtId="1" fontId="17" fillId="0" borderId="38" xfId="0" applyNumberFormat="1" applyFont="1" applyFill="1" applyBorder="1" applyAlignment="1" applyProtection="1">
      <alignment horizontal="center"/>
    </xf>
    <xf numFmtId="0" fontId="25" fillId="0" borderId="38" xfId="312" applyNumberFormat="1" applyFont="1" applyFill="1" applyBorder="1" applyAlignment="1" applyProtection="1">
      <alignment horizontal="center" wrapText="1"/>
    </xf>
    <xf numFmtId="188" fontId="92" fillId="0" borderId="76" xfId="0" applyNumberFormat="1" applyFont="1" applyFill="1" applyBorder="1" applyAlignment="1" applyProtection="1">
      <alignment vertical="top" wrapText="1" readingOrder="1"/>
    </xf>
    <xf numFmtId="0" fontId="3" fillId="0" borderId="38" xfId="0" applyFont="1" applyFill="1" applyBorder="1" applyProtection="1"/>
    <xf numFmtId="164" fontId="100" fillId="0" borderId="62" xfId="930" applyNumberFormat="1" applyFont="1" applyFill="1" applyBorder="1" applyProtection="1"/>
    <xf numFmtId="164" fontId="133" fillId="0" borderId="62" xfId="930" applyNumberFormat="1" applyFont="1" applyFill="1" applyBorder="1" applyProtection="1"/>
    <xf numFmtId="164" fontId="100" fillId="0" borderId="38" xfId="930" applyNumberFormat="1" applyFont="1" applyFill="1" applyBorder="1" applyProtection="1"/>
    <xf numFmtId="194" fontId="133" fillId="0" borderId="38" xfId="930" applyNumberFormat="1" applyFont="1" applyFill="1" applyBorder="1" applyProtection="1"/>
    <xf numFmtId="10" fontId="100" fillId="0" borderId="32" xfId="930" applyNumberFormat="1" applyFont="1" applyFill="1" applyBorder="1" applyProtection="1"/>
    <xf numFmtId="164" fontId="100" fillId="0" borderId="61" xfId="930" applyNumberFormat="1" applyFont="1" applyFill="1" applyBorder="1" applyProtection="1"/>
    <xf numFmtId="188" fontId="92" fillId="0" borderId="38" xfId="0" applyNumberFormat="1" applyFont="1" applyFill="1" applyBorder="1" applyAlignment="1" applyProtection="1">
      <alignment horizontal="center" vertical="top" wrapText="1" readingOrder="1"/>
    </xf>
    <xf numFmtId="188" fontId="92" fillId="0" borderId="77" xfId="0" applyNumberFormat="1" applyFont="1" applyFill="1" applyBorder="1" applyAlignment="1" applyProtection="1">
      <alignment vertical="top" wrapText="1" readingOrder="1"/>
    </xf>
    <xf numFmtId="0" fontId="17" fillId="0" borderId="4" xfId="0" applyNumberFormat="1" applyFont="1" applyFill="1" applyBorder="1" applyAlignment="1" applyProtection="1"/>
    <xf numFmtId="0" fontId="0" fillId="0" borderId="0" xfId="0" applyFill="1" applyAlignment="1" applyProtection="1">
      <alignment horizontal="center"/>
    </xf>
    <xf numFmtId="0" fontId="3" fillId="0" borderId="4" xfId="0" applyNumberFormat="1" applyFont="1" applyFill="1" applyBorder="1" applyAlignment="1" applyProtection="1"/>
    <xf numFmtId="0" fontId="0" fillId="0" borderId="0" xfId="0" applyFont="1" applyFill="1" applyBorder="1" applyProtection="1"/>
    <xf numFmtId="0" fontId="17" fillId="0" borderId="38" xfId="0" applyFont="1" applyFill="1" applyBorder="1" applyAlignment="1" applyProtection="1">
      <alignment horizontal="right"/>
    </xf>
    <xf numFmtId="43" fontId="17" fillId="0" borderId="38" xfId="312" applyFont="1" applyFill="1" applyBorder="1" applyProtection="1"/>
    <xf numFmtId="10" fontId="8" fillId="0" borderId="63" xfId="930" applyNumberFormat="1" applyFont="1" applyFill="1" applyBorder="1" applyProtection="1"/>
    <xf numFmtId="164" fontId="8" fillId="0" borderId="64" xfId="930" applyNumberFormat="1" applyFont="1" applyFill="1" applyBorder="1" applyProtection="1"/>
    <xf numFmtId="10" fontId="133" fillId="0" borderId="63" xfId="930" applyNumberFormat="1" applyFont="1" applyFill="1" applyBorder="1" applyProtection="1"/>
    <xf numFmtId="164" fontId="133" fillId="0" borderId="64" xfId="930" applyNumberFormat="1" applyFont="1" applyFill="1" applyBorder="1" applyProtection="1"/>
    <xf numFmtId="164" fontId="133" fillId="0" borderId="15" xfId="930" applyNumberFormat="1" applyFont="1" applyFill="1" applyBorder="1" applyProtection="1"/>
    <xf numFmtId="10" fontId="100" fillId="0" borderId="65" xfId="930" applyNumberFormat="1" applyFont="1" applyFill="1" applyBorder="1" applyProtection="1"/>
    <xf numFmtId="164" fontId="100" fillId="0" borderId="64" xfId="0" applyNumberFormat="1" applyFont="1" applyFill="1" applyBorder="1" applyProtection="1"/>
    <xf numFmtId="164" fontId="133" fillId="0" borderId="64" xfId="0" applyNumberFormat="1" applyFont="1" applyFill="1" applyBorder="1" applyProtection="1"/>
    <xf numFmtId="10" fontId="100" fillId="0" borderId="63" xfId="930" applyNumberFormat="1" applyFont="1" applyFill="1" applyBorder="1" applyProtection="1"/>
    <xf numFmtId="10" fontId="133" fillId="0" borderId="65" xfId="930" applyNumberFormat="1" applyFont="1" applyFill="1" applyBorder="1" applyProtection="1"/>
    <xf numFmtId="194" fontId="133" fillId="0" borderId="64" xfId="0" applyNumberFormat="1" applyFont="1" applyFill="1" applyBorder="1" applyProtection="1"/>
    <xf numFmtId="3" fontId="7" fillId="0" borderId="38" xfId="930" applyNumberFormat="1" applyFont="1" applyFill="1" applyBorder="1" applyAlignment="1" applyProtection="1">
      <alignment horizontal="center"/>
    </xf>
    <xf numFmtId="40" fontId="0" fillId="0" borderId="0" xfId="0" applyNumberFormat="1" applyFill="1" applyProtection="1"/>
    <xf numFmtId="10" fontId="0" fillId="0" borderId="0" xfId="0" applyNumberFormat="1" applyFill="1" applyProtection="1"/>
    <xf numFmtId="164" fontId="0" fillId="0" borderId="0" xfId="0" applyNumberFormat="1" applyFill="1" applyProtection="1"/>
    <xf numFmtId="10" fontId="136" fillId="0" borderId="0" xfId="0" applyNumberFormat="1" applyFont="1" applyFill="1" applyProtection="1"/>
    <xf numFmtId="164" fontId="136" fillId="0" borderId="0" xfId="0" applyNumberFormat="1" applyFont="1" applyFill="1" applyProtection="1"/>
    <xf numFmtId="10" fontId="103" fillId="0" borderId="0" xfId="0" applyNumberFormat="1" applyFont="1" applyFill="1" applyProtection="1"/>
    <xf numFmtId="164" fontId="103" fillId="0" borderId="0" xfId="0" applyNumberFormat="1" applyFont="1" applyFill="1" applyProtection="1"/>
    <xf numFmtId="194" fontId="136" fillId="0" borderId="0" xfId="0" applyNumberFormat="1" applyFont="1" applyFill="1" applyProtection="1"/>
    <xf numFmtId="166" fontId="2" fillId="0" borderId="0" xfId="0" applyNumberFormat="1" applyFont="1" applyFill="1" applyAlignment="1" applyProtection="1">
      <alignment horizontal="center"/>
    </xf>
    <xf numFmtId="0" fontId="17" fillId="0" borderId="0" xfId="0" applyFont="1" applyProtection="1"/>
    <xf numFmtId="188" fontId="0" fillId="34" borderId="0" xfId="0" applyNumberFormat="1" applyFill="1" applyProtection="1"/>
    <xf numFmtId="10" fontId="20" fillId="0" borderId="46" xfId="930" applyNumberFormat="1" applyFont="1" applyBorder="1" applyProtection="1"/>
    <xf numFmtId="164" fontId="20" fillId="0" borderId="48" xfId="0" applyNumberFormat="1" applyFont="1" applyBorder="1" applyProtection="1"/>
    <xf numFmtId="10" fontId="135" fillId="0" borderId="46" xfId="930" applyNumberFormat="1" applyFont="1" applyBorder="1" applyProtection="1"/>
    <xf numFmtId="164" fontId="135" fillId="0" borderId="48" xfId="0" applyNumberFormat="1" applyFont="1" applyBorder="1" applyProtection="1"/>
    <xf numFmtId="10" fontId="102" fillId="0" borderId="46" xfId="930" applyNumberFormat="1" applyFont="1" applyBorder="1" applyProtection="1"/>
    <xf numFmtId="164" fontId="102" fillId="0" borderId="48" xfId="0" applyNumberFormat="1" applyFont="1" applyBorder="1" applyProtection="1"/>
    <xf numFmtId="10" fontId="102" fillId="0" borderId="47" xfId="930" applyNumberFormat="1" applyFont="1" applyBorder="1" applyProtection="1"/>
    <xf numFmtId="10" fontId="135" fillId="0" borderId="47" xfId="930" applyNumberFormat="1" applyFont="1" applyBorder="1" applyProtection="1"/>
    <xf numFmtId="194" fontId="135" fillId="0" borderId="48" xfId="0" applyNumberFormat="1" applyFont="1" applyBorder="1" applyProtection="1"/>
    <xf numFmtId="10" fontId="102" fillId="0" borderId="46" xfId="930" applyNumberFormat="1" applyFont="1" applyFill="1" applyBorder="1" applyProtection="1"/>
    <xf numFmtId="10" fontId="135" fillId="0" borderId="46" xfId="930" applyNumberFormat="1" applyFont="1" applyFill="1" applyBorder="1" applyProtection="1"/>
    <xf numFmtId="188" fontId="11" fillId="0" borderId="52" xfId="0" applyNumberFormat="1" applyFont="1" applyFill="1" applyBorder="1" applyAlignment="1" applyProtection="1">
      <alignment horizontal="center"/>
    </xf>
    <xf numFmtId="10" fontId="20" fillId="0" borderId="49" xfId="930" applyNumberFormat="1" applyFont="1" applyBorder="1" applyProtection="1"/>
    <xf numFmtId="164" fontId="20" fillId="0" borderId="50" xfId="0" applyNumberFormat="1" applyFont="1" applyBorder="1" applyProtection="1"/>
    <xf numFmtId="10" fontId="135" fillId="0" borderId="49" xfId="930" applyNumberFormat="1" applyFont="1" applyBorder="1" applyProtection="1"/>
    <xf numFmtId="164" fontId="135" fillId="0" borderId="50" xfId="0" applyNumberFormat="1" applyFont="1" applyBorder="1" applyProtection="1"/>
    <xf numFmtId="10" fontId="102" fillId="0" borderId="49" xfId="930" applyNumberFormat="1" applyFont="1" applyBorder="1" applyProtection="1"/>
    <xf numFmtId="164" fontId="102" fillId="0" borderId="50" xfId="0" applyNumberFormat="1" applyFont="1" applyBorder="1" applyProtection="1"/>
    <xf numFmtId="10" fontId="102" fillId="0" borderId="0" xfId="930" applyNumberFormat="1" applyFont="1" applyBorder="1" applyProtection="1"/>
    <xf numFmtId="10" fontId="135" fillId="0" borderId="0" xfId="930" applyNumberFormat="1" applyFont="1" applyBorder="1" applyProtection="1"/>
    <xf numFmtId="194" fontId="135" fillId="0" borderId="50" xfId="0" applyNumberFormat="1" applyFont="1" applyBorder="1" applyProtection="1"/>
    <xf numFmtId="10" fontId="102" fillId="0" borderId="49" xfId="930" applyNumberFormat="1" applyFont="1" applyFill="1" applyBorder="1" applyProtection="1"/>
    <xf numFmtId="10" fontId="135" fillId="0" borderId="49" xfId="930" applyNumberFormat="1" applyFont="1" applyFill="1" applyBorder="1" applyProtection="1"/>
    <xf numFmtId="188" fontId="11" fillId="0" borderId="53" xfId="0" applyNumberFormat="1" applyFont="1" applyFill="1" applyBorder="1" applyAlignment="1" applyProtection="1">
      <alignment horizontal="center"/>
    </xf>
    <xf numFmtId="0" fontId="3" fillId="0" borderId="0" xfId="0" applyFont="1" applyProtection="1"/>
    <xf numFmtId="188" fontId="103" fillId="0" borderId="0" xfId="0" applyNumberFormat="1" applyFont="1" applyFill="1" applyProtection="1"/>
    <xf numFmtId="10" fontId="102" fillId="0" borderId="49" xfId="0" applyNumberFormat="1" applyFont="1" applyFill="1" applyBorder="1" applyProtection="1"/>
    <xf numFmtId="164" fontId="102" fillId="0" borderId="50" xfId="0" applyNumberFormat="1" applyFont="1" applyFill="1" applyBorder="1" applyProtection="1"/>
    <xf numFmtId="10" fontId="135" fillId="0" borderId="49" xfId="0" applyNumberFormat="1" applyFont="1" applyFill="1" applyBorder="1" applyProtection="1"/>
    <xf numFmtId="164" fontId="135" fillId="0" borderId="50" xfId="0" applyNumberFormat="1" applyFont="1" applyFill="1" applyBorder="1" applyProtection="1"/>
    <xf numFmtId="10" fontId="102" fillId="0" borderId="0" xfId="0" applyNumberFormat="1" applyFont="1" applyFill="1" applyBorder="1" applyProtection="1"/>
    <xf numFmtId="10" fontId="135" fillId="0" borderId="0" xfId="0" applyNumberFormat="1" applyFont="1" applyFill="1" applyBorder="1" applyProtection="1"/>
    <xf numFmtId="194" fontId="135" fillId="0" borderId="50" xfId="0" applyNumberFormat="1" applyFont="1" applyFill="1" applyBorder="1" applyProtection="1"/>
    <xf numFmtId="165" fontId="0" fillId="34" borderId="0" xfId="0" applyNumberFormat="1" applyFill="1" applyProtection="1"/>
    <xf numFmtId="164" fontId="135" fillId="0" borderId="50" xfId="930" applyNumberFormat="1" applyFont="1" applyBorder="1" applyProtection="1"/>
    <xf numFmtId="164" fontId="102" fillId="0" borderId="50" xfId="930" applyNumberFormat="1" applyFont="1" applyBorder="1" applyProtection="1"/>
    <xf numFmtId="10" fontId="20" fillId="0" borderId="51" xfId="930" applyNumberFormat="1" applyFont="1" applyBorder="1" applyProtection="1"/>
    <xf numFmtId="164" fontId="20" fillId="0" borderId="42" xfId="0" applyNumberFormat="1" applyFont="1" applyBorder="1" applyProtection="1"/>
    <xf numFmtId="10" fontId="135" fillId="0" borderId="51" xfId="930" applyNumberFormat="1" applyFont="1" applyBorder="1" applyProtection="1"/>
    <xf numFmtId="164" fontId="135" fillId="0" borderId="42" xfId="0" applyNumberFormat="1" applyFont="1" applyBorder="1" applyProtection="1"/>
    <xf numFmtId="10" fontId="102" fillId="0" borderId="51" xfId="930" applyNumberFormat="1" applyFont="1" applyBorder="1" applyProtection="1"/>
    <xf numFmtId="164" fontId="102" fillId="0" borderId="42" xfId="0" applyNumberFormat="1" applyFont="1" applyBorder="1" applyProtection="1"/>
    <xf numFmtId="10" fontId="102" fillId="0" borderId="16" xfId="930" applyNumberFormat="1" applyFont="1" applyBorder="1" applyProtection="1"/>
    <xf numFmtId="10" fontId="135" fillId="0" borderId="16" xfId="930" applyNumberFormat="1" applyFont="1" applyBorder="1" applyProtection="1"/>
    <xf numFmtId="194" fontId="135" fillId="0" borderId="42" xfId="0" applyNumberFormat="1" applyFont="1" applyBorder="1" applyProtection="1"/>
    <xf numFmtId="164" fontId="135" fillId="0" borderId="42" xfId="930" applyNumberFormat="1" applyFont="1" applyBorder="1" applyProtection="1"/>
    <xf numFmtId="164" fontId="102" fillId="0" borderId="42" xfId="930" applyNumberFormat="1" applyFont="1" applyBorder="1" applyProtection="1"/>
    <xf numFmtId="188" fontId="11" fillId="0" borderId="43" xfId="0" applyNumberFormat="1" applyFont="1" applyFill="1" applyBorder="1" applyAlignment="1" applyProtection="1">
      <alignment horizontal="center"/>
    </xf>
    <xf numFmtId="189" fontId="17" fillId="34" borderId="38" xfId="0" applyNumberFormat="1" applyFont="1" applyFill="1" applyBorder="1" applyProtection="1"/>
    <xf numFmtId="188" fontId="17" fillId="34" borderId="38" xfId="0" applyNumberFormat="1" applyFont="1" applyFill="1" applyBorder="1" applyProtection="1"/>
    <xf numFmtId="167" fontId="0" fillId="0" borderId="0" xfId="0" applyNumberFormat="1" applyProtection="1"/>
    <xf numFmtId="167" fontId="104" fillId="0" borderId="0" xfId="0" applyNumberFormat="1" applyFont="1" applyProtection="1"/>
    <xf numFmtId="166" fontId="104" fillId="0" borderId="0" xfId="0" applyNumberFormat="1" applyFont="1" applyProtection="1"/>
    <xf numFmtId="167" fontId="103" fillId="0" borderId="0" xfId="0" applyNumberFormat="1" applyFont="1" applyProtection="1"/>
    <xf numFmtId="166" fontId="103" fillId="0" borderId="0" xfId="0" applyNumberFormat="1" applyFont="1" applyProtection="1"/>
    <xf numFmtId="0" fontId="103" fillId="0" borderId="0" xfId="0" applyFont="1" applyProtection="1"/>
    <xf numFmtId="0" fontId="104" fillId="0" borderId="0" xfId="0" applyFont="1" applyProtection="1"/>
    <xf numFmtId="0" fontId="136" fillId="0" borderId="0" xfId="0" applyFont="1" applyProtection="1"/>
    <xf numFmtId="166" fontId="136" fillId="0" borderId="0" xfId="0" applyNumberFormat="1" applyFont="1" applyProtection="1"/>
    <xf numFmtId="188" fontId="17" fillId="0" borderId="24" xfId="0" applyNumberFormat="1" applyFont="1" applyFill="1" applyBorder="1" applyAlignment="1" applyProtection="1">
      <alignment horizontal="center"/>
    </xf>
    <xf numFmtId="188" fontId="0" fillId="0" borderId="0" xfId="0" applyNumberFormat="1" applyProtection="1"/>
    <xf numFmtId="166" fontId="11" fillId="0" borderId="0" xfId="0" applyNumberFormat="1" applyFont="1" applyAlignment="1" applyProtection="1">
      <alignment horizontal="center"/>
    </xf>
    <xf numFmtId="0" fontId="18" fillId="0" borderId="0" xfId="0" applyFont="1" applyProtection="1"/>
    <xf numFmtId="0" fontId="18" fillId="0" borderId="0" xfId="0" applyFont="1" applyAlignment="1" applyProtection="1">
      <alignment horizontal="center"/>
    </xf>
    <xf numFmtId="188" fontId="18" fillId="0" borderId="0" xfId="0" applyNumberFormat="1" applyFont="1" applyAlignment="1" applyProtection="1">
      <alignment horizontal="center"/>
    </xf>
    <xf numFmtId="0" fontId="104" fillId="0" borderId="0" xfId="0" applyFont="1" applyAlignment="1" applyProtection="1">
      <alignment horizontal="center"/>
    </xf>
    <xf numFmtId="0" fontId="103" fillId="0" borderId="0" xfId="0" applyFont="1" applyAlignment="1" applyProtection="1">
      <alignment horizontal="center"/>
    </xf>
    <xf numFmtId="0" fontId="136" fillId="0" borderId="0" xfId="0" applyFont="1" applyAlignment="1" applyProtection="1">
      <alignment horizontal="center"/>
    </xf>
    <xf numFmtId="171" fontId="2" fillId="0" borderId="38" xfId="0" applyNumberFormat="1" applyFont="1" applyFill="1" applyBorder="1" applyProtection="1"/>
    <xf numFmtId="171" fontId="21" fillId="0" borderId="38" xfId="0" applyNumberFormat="1" applyFont="1" applyFill="1" applyBorder="1" applyProtection="1"/>
    <xf numFmtId="171" fontId="21" fillId="0" borderId="38" xfId="0" applyNumberFormat="1" applyFont="1" applyFill="1" applyBorder="1" applyAlignment="1" applyProtection="1">
      <alignment horizontal="right"/>
    </xf>
    <xf numFmtId="189" fontId="17" fillId="0" borderId="38" xfId="312" applyNumberFormat="1" applyFont="1" applyBorder="1" applyProtection="1"/>
    <xf numFmtId="171" fontId="17" fillId="0" borderId="38" xfId="312" applyNumberFormat="1" applyFont="1" applyBorder="1" applyProtection="1"/>
    <xf numFmtId="188" fontId="17" fillId="0" borderId="38" xfId="0" applyNumberFormat="1" applyFont="1" applyBorder="1" applyProtection="1"/>
    <xf numFmtId="190" fontId="99" fillId="0" borderId="38" xfId="626" applyNumberFormat="1" applyFont="1" applyBorder="1" applyProtection="1"/>
    <xf numFmtId="171" fontId="0" fillId="0" borderId="0" xfId="0" applyNumberFormat="1" applyBorder="1" applyProtection="1"/>
    <xf numFmtId="171" fontId="8" fillId="0" borderId="0" xfId="930" applyNumberFormat="1" applyFont="1" applyBorder="1" applyProtection="1"/>
    <xf numFmtId="171" fontId="105" fillId="0" borderId="0" xfId="930" applyNumberFormat="1" applyFont="1" applyBorder="1" applyProtection="1"/>
    <xf numFmtId="171" fontId="100" fillId="0" borderId="0" xfId="930" applyNumberFormat="1" applyFont="1" applyBorder="1" applyProtection="1"/>
    <xf numFmtId="171" fontId="100" fillId="0" borderId="0" xfId="0" applyNumberFormat="1" applyFont="1" applyBorder="1" applyProtection="1"/>
    <xf numFmtId="171" fontId="105" fillId="0" borderId="0" xfId="0" applyNumberFormat="1" applyFont="1" applyBorder="1" applyProtection="1"/>
    <xf numFmtId="171" fontId="100" fillId="0" borderId="0" xfId="930" applyNumberFormat="1" applyFont="1" applyFill="1" applyBorder="1" applyProtection="1"/>
    <xf numFmtId="171" fontId="133" fillId="0" borderId="0" xfId="930" applyNumberFormat="1" applyFont="1" applyFill="1" applyBorder="1" applyProtection="1"/>
    <xf numFmtId="171" fontId="133" fillId="0" borderId="0" xfId="0" applyNumberFormat="1" applyFont="1" applyBorder="1" applyProtection="1"/>
    <xf numFmtId="171" fontId="2" fillId="0" borderId="0" xfId="312" applyNumberFormat="1" applyFont="1" applyBorder="1" applyAlignment="1" applyProtection="1">
      <alignment horizontal="center"/>
    </xf>
    <xf numFmtId="171" fontId="0" fillId="0" borderId="0" xfId="0" applyNumberFormat="1" applyProtection="1"/>
    <xf numFmtId="43" fontId="0" fillId="0" borderId="0" xfId="0" applyNumberFormat="1" applyProtection="1"/>
    <xf numFmtId="189" fontId="0" fillId="0" borderId="0" xfId="0" applyNumberFormat="1" applyProtection="1"/>
    <xf numFmtId="0" fontId="17" fillId="33" borderId="37" xfId="0" applyFont="1" applyFill="1" applyBorder="1" applyAlignment="1" applyProtection="1">
      <alignment horizontal="center" wrapText="1"/>
      <protection locked="0"/>
    </xf>
    <xf numFmtId="0" fontId="6" fillId="0" borderId="0" xfId="0" applyFont="1" applyAlignment="1" applyProtection="1">
      <alignment horizontal="center"/>
    </xf>
    <xf numFmtId="0" fontId="6" fillId="0" borderId="66" xfId="0" applyFont="1" applyBorder="1" applyAlignment="1" applyProtection="1">
      <alignment horizontal="center"/>
    </xf>
    <xf numFmtId="0" fontId="7" fillId="33" borderId="67" xfId="0" applyFont="1" applyFill="1" applyBorder="1" applyAlignment="1" applyProtection="1">
      <alignment horizontal="center"/>
    </xf>
    <xf numFmtId="0" fontId="7" fillId="33" borderId="68" xfId="0" applyFont="1" applyFill="1" applyBorder="1" applyAlignment="1" applyProtection="1">
      <alignment horizontal="center"/>
    </xf>
    <xf numFmtId="0" fontId="7" fillId="33" borderId="69" xfId="0" applyFont="1" applyFill="1" applyBorder="1" applyAlignment="1" applyProtection="1">
      <alignment horizontal="center"/>
    </xf>
    <xf numFmtId="0" fontId="133" fillId="0" borderId="70" xfId="0" applyFont="1" applyBorder="1" applyAlignment="1" applyProtection="1">
      <alignment horizontal="center"/>
    </xf>
    <xf numFmtId="0" fontId="133" fillId="0" borderId="7" xfId="0" applyFont="1" applyBorder="1" applyAlignment="1" applyProtection="1">
      <alignment horizontal="center"/>
    </xf>
    <xf numFmtId="0" fontId="133" fillId="0" borderId="58" xfId="0" applyFont="1" applyBorder="1" applyAlignment="1" applyProtection="1">
      <alignment horizontal="center"/>
    </xf>
    <xf numFmtId="0" fontId="8" fillId="0" borderId="70" xfId="0" applyFont="1" applyBorder="1" applyAlignment="1" applyProtection="1">
      <alignment horizontal="center"/>
    </xf>
    <xf numFmtId="0" fontId="8" fillId="0" borderId="58" xfId="0" applyFont="1" applyBorder="1" applyAlignment="1" applyProtection="1">
      <alignment horizontal="center"/>
    </xf>
    <xf numFmtId="0" fontId="133" fillId="0" borderId="70" xfId="0" applyFont="1" applyBorder="1" applyAlignment="1" applyProtection="1">
      <alignment horizontal="center" wrapText="1"/>
    </xf>
    <xf numFmtId="0" fontId="133" fillId="0" borderId="58" xfId="0" applyFont="1" applyBorder="1" applyAlignment="1" applyProtection="1">
      <alignment horizontal="center" wrapText="1"/>
    </xf>
    <xf numFmtId="0" fontId="100" fillId="0" borderId="70" xfId="0" applyFont="1" applyBorder="1" applyAlignment="1" applyProtection="1">
      <alignment horizontal="center"/>
    </xf>
    <xf numFmtId="0" fontId="100" fillId="0" borderId="7" xfId="0" applyFont="1" applyBorder="1" applyAlignment="1" applyProtection="1">
      <alignment horizontal="center"/>
    </xf>
    <xf numFmtId="0" fontId="100" fillId="0" borderId="58" xfId="0" applyFont="1" applyBorder="1" applyAlignment="1" applyProtection="1">
      <alignment horizontal="center"/>
    </xf>
    <xf numFmtId="0" fontId="100" fillId="0" borderId="70" xfId="0" applyFont="1" applyBorder="1" applyAlignment="1" applyProtection="1">
      <alignment horizontal="center" wrapText="1"/>
    </xf>
    <xf numFmtId="0" fontId="100" fillId="0" borderId="58" xfId="0" applyFont="1" applyBorder="1" applyAlignment="1" applyProtection="1">
      <alignment horizontal="center" wrapText="1"/>
    </xf>
    <xf numFmtId="0" fontId="133" fillId="0" borderId="7" xfId="0" applyFont="1" applyBorder="1" applyAlignment="1" applyProtection="1">
      <alignment horizontal="center" wrapText="1"/>
    </xf>
    <xf numFmtId="0" fontId="114" fillId="0" borderId="78" xfId="1067" applyFont="1" applyBorder="1" applyAlignment="1">
      <alignment vertical="top" wrapText="1" readingOrder="1"/>
    </xf>
    <xf numFmtId="0" fontId="111" fillId="0" borderId="84" xfId="1067" applyFont="1" applyBorder="1" applyAlignment="1">
      <alignment vertical="top" wrapText="1"/>
    </xf>
    <xf numFmtId="0" fontId="110" fillId="0" borderId="0" xfId="1067" applyFont="1" applyAlignment="1">
      <alignment vertical="top" wrapText="1" readingOrder="1"/>
    </xf>
    <xf numFmtId="0" fontId="111" fillId="0" borderId="0" xfId="1067" applyFont="1"/>
    <xf numFmtId="0" fontId="112" fillId="36" borderId="78" xfId="1067" applyFont="1" applyFill="1" applyBorder="1" applyAlignment="1">
      <alignment horizontal="right" vertical="top" wrapText="1" readingOrder="1"/>
    </xf>
    <xf numFmtId="3" fontId="127" fillId="38" borderId="87" xfId="827" applyNumberFormat="1" applyFont="1" applyFill="1" applyBorder="1" applyAlignment="1">
      <alignment horizontal="center"/>
    </xf>
    <xf numFmtId="0" fontId="130" fillId="38" borderId="87" xfId="827" applyFont="1" applyFill="1" applyBorder="1" applyAlignment="1">
      <alignment horizontal="center"/>
    </xf>
    <xf numFmtId="0" fontId="127" fillId="38" borderId="87" xfId="827" applyFont="1" applyFill="1" applyBorder="1" applyAlignment="1">
      <alignment horizontal="center" vertical="center" wrapText="1"/>
    </xf>
    <xf numFmtId="0" fontId="127" fillId="38" borderId="0" xfId="827" applyFont="1" applyFill="1" applyAlignment="1">
      <alignment horizontal="left" vertical="center" wrapText="1"/>
    </xf>
    <xf numFmtId="0" fontId="127" fillId="38" borderId="0" xfId="1070" applyFont="1" applyFill="1" applyAlignment="1">
      <alignment horizontal="left" vertical="top" wrapText="1"/>
      <protection locked="0"/>
    </xf>
    <xf numFmtId="0" fontId="127" fillId="38" borderId="0" xfId="827" applyFont="1" applyFill="1" applyAlignment="1">
      <alignment horizontal="left" wrapText="1"/>
    </xf>
    <xf numFmtId="0" fontId="127" fillId="38" borderId="0" xfId="1069" applyFont="1" applyFill="1" applyAlignment="1">
      <alignment horizontal="left" vertical="top" wrapText="1"/>
    </xf>
    <xf numFmtId="0" fontId="129" fillId="38" borderId="0" xfId="827" applyFont="1" applyFill="1" applyAlignment="1">
      <alignment horizontal="left" vertical="center" wrapText="1"/>
    </xf>
    <xf numFmtId="0" fontId="22" fillId="25" borderId="71" xfId="0" applyFont="1" applyFill="1" applyBorder="1" applyAlignment="1">
      <alignment horizontal="center" vertical="center" wrapText="1"/>
    </xf>
    <xf numFmtId="0" fontId="22" fillId="25" borderId="72" xfId="0" applyFont="1" applyFill="1" applyBorder="1" applyAlignment="1">
      <alignment horizontal="center" vertical="center" wrapText="1"/>
    </xf>
    <xf numFmtId="0" fontId="22" fillId="25" borderId="73" xfId="0" applyFont="1" applyFill="1" applyBorder="1" applyAlignment="1">
      <alignment horizontal="center" vertical="center" wrapText="1"/>
    </xf>
    <xf numFmtId="0" fontId="22" fillId="25" borderId="79" xfId="0" applyFont="1" applyFill="1" applyBorder="1" applyAlignment="1">
      <alignment horizontal="center" vertical="center" wrapText="1"/>
    </xf>
    <xf numFmtId="0" fontId="22" fillId="25" borderId="80" xfId="0" applyFont="1" applyFill="1" applyBorder="1" applyAlignment="1">
      <alignment horizontal="center" vertical="center" wrapText="1"/>
    </xf>
    <xf numFmtId="0" fontId="0" fillId="0" borderId="81" xfId="0" applyBorder="1" applyAlignment="1">
      <alignment wrapText="1"/>
    </xf>
    <xf numFmtId="0" fontId="22" fillId="25" borderId="82" xfId="0" applyFont="1" applyFill="1"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0" fontId="22" fillId="25" borderId="74" xfId="0" applyFont="1" applyFill="1" applyBorder="1" applyAlignment="1">
      <alignment horizontal="center" vertical="center" wrapText="1"/>
    </xf>
  </cellXfs>
  <cellStyles count="1072">
    <cellStyle name=" 1" xfId="1" xr:uid="{00000000-0005-0000-0000-000000000000}"/>
    <cellStyle name=" 2" xfId="2" xr:uid="{00000000-0005-0000-0000-000001000000}"/>
    <cellStyle name=" 3" xfId="3" xr:uid="{00000000-0005-0000-0000-000002000000}"/>
    <cellStyle name="_x000d__x000a_JournalTemplate=C:\COMFO\CTALK\JOURSTD.TPL_x000d__x000a_LbStateAddress=3 3 0 251 1 89 2 311_x000d__x000a_LbStateJou" xfId="4" xr:uid="{00000000-0005-0000-0000-000003000000}"/>
    <cellStyle name="%" xfId="5" xr:uid="{00000000-0005-0000-0000-000004000000}"/>
    <cellStyle name="% 2" xfId="6" xr:uid="{00000000-0005-0000-0000-000005000000}"/>
    <cellStyle name="% 2 2" xfId="7" xr:uid="{00000000-0005-0000-0000-000006000000}"/>
    <cellStyle name="% 3" xfId="8" xr:uid="{00000000-0005-0000-0000-000007000000}"/>
    <cellStyle name="% 3 2" xfId="9" xr:uid="{00000000-0005-0000-0000-000008000000}"/>
    <cellStyle name="% 4" xfId="10" xr:uid="{00000000-0005-0000-0000-000009000000}"/>
    <cellStyle name="%_302_Baselines_Oct12 (Revised) (2)" xfId="11" xr:uid="{00000000-0005-0000-0000-00000A000000}"/>
    <cellStyle name="%_302_Baselines_Oct12 (Revised) (2) 2" xfId="12" xr:uid="{00000000-0005-0000-0000-00000B000000}"/>
    <cellStyle name="%_Book1" xfId="13" xr:uid="{00000000-0005-0000-0000-00000C000000}"/>
    <cellStyle name="%_Copy of Copy of SEN_Questionnaire_2013" xfId="14" xr:uid="{00000000-0005-0000-0000-00000D000000}"/>
    <cellStyle name="%_Copy of Copy of SEN_Questionnaire_2013 (2)" xfId="15" xr:uid="{00000000-0005-0000-0000-00000E000000}"/>
    <cellStyle name="%_DSG Cost centres from LBurbidge 16Oct12" xfId="16" xr:uid="{00000000-0005-0000-0000-00000F000000}"/>
    <cellStyle name="%_DSG Cost centres from LBurbidge 16Oct12 2" xfId="17" xr:uid="{00000000-0005-0000-0000-000010000000}"/>
    <cellStyle name="%_DSG Cost centres from LBurbidge 16Oct12_Schools Budget Plan 2013-14 V4 @ 14Jan2013" xfId="18" xr:uid="{00000000-0005-0000-0000-000011000000}"/>
    <cellStyle name="%_DSG Cost centres from LBurbidge 16Oct12_Schools Budget Plan 2013-14 V4 @ 14Jan2013 2" xfId="19" xr:uid="{00000000-0005-0000-0000-000012000000}"/>
    <cellStyle name="%_DSG Cost centres from LBurbidge 16Oct12_Schools Budget Plan 2013-14 V4 @ 14Jan2013 2 2" xfId="20" xr:uid="{00000000-0005-0000-0000-000013000000}"/>
    <cellStyle name="%_Reconciliation since 26042013" xfId="21" xr:uid="{00000000-0005-0000-0000-000014000000}"/>
    <cellStyle name="%_Reconciliation since 26042013 2" xfId="22" xr:uid="{00000000-0005-0000-0000-000015000000}"/>
    <cellStyle name="%_Restatement of baselines - CB" xfId="23" xr:uid="{00000000-0005-0000-0000-000016000000}"/>
    <cellStyle name="%_Restatement of baselines - CB 2" xfId="24" xr:uid="{00000000-0005-0000-0000-000017000000}"/>
    <cellStyle name="%_Schools Budget Plan 2013-14 V1 sent to group - SS" xfId="25" xr:uid="{00000000-0005-0000-0000-000018000000}"/>
    <cellStyle name="%_Schools Budget Plan 2013-14 V1 sent to group - SS 2" xfId="26" xr:uid="{00000000-0005-0000-0000-000019000000}"/>
    <cellStyle name="%_Schools Budget Plan 2013-14 V1 sent to group - SS_Schools Budget Plan 2013-14 V4 @ 14Jan2013" xfId="27" xr:uid="{00000000-0005-0000-0000-00001A000000}"/>
    <cellStyle name="%_Schools Budget Plan 2013-14 V1 sent to group - SS_Schools Budget Plan 2013-14 V4 @ 14Jan2013 2" xfId="28" xr:uid="{00000000-0005-0000-0000-00001B000000}"/>
    <cellStyle name="%_Schools Budget Plan 2013-14 V1 sent to group - SS_Schools Budget Plan 2013-14 V4 @ 14Jan2013 2 2" xfId="29" xr:uid="{00000000-0005-0000-0000-00001C000000}"/>
    <cellStyle name="%_Schools Budget Plan 2013-14 V4 @ 14Jan2013" xfId="30" xr:uid="{00000000-0005-0000-0000-00001D000000}"/>
    <cellStyle name="%_Schools Budget Plan 2013-14 V4 @ 14Jan2013 2" xfId="31" xr:uid="{00000000-0005-0000-0000-00001E000000}"/>
    <cellStyle name="%_Schools Budget Plan 2013-14 V4 @ 14Jan2013 2 2" xfId="32" xr:uid="{00000000-0005-0000-0000-00001F000000}"/>
    <cellStyle name="]_x000a__x000a_Width=797_x000a__x000a_Height=554_x000a__x000a__x000a__x000a_[Code]_x000a__x000a_Code0=/nyf50_x000a__x000a_Code1=4500000136_x000a__x000a_Code2=ME23_x000a__x000a_Code3=4500002322_x000a__x000a_Code4=#_x000a__x000a_Code5=MB01_x000a__x000a_" xfId="33" xr:uid="{00000000-0005-0000-0000-000020000000}"/>
    <cellStyle name="]_x000d__x000a_Width=797_x000d__x000a_Height=554_x000d__x000a__x000d__x000a_[Code]_x000d__x000a_Code0=/nyf50_x000d__x000a_Code1=4500000136_x000d__x000a_Code2=ME23_x000d__x000a_Code3=4500002322_x000d__x000a_Code4=#_x000d__x000a_Code5=MB01_x000d__x000a_" xfId="34" xr:uid="{00000000-0005-0000-0000-000021000000}"/>
    <cellStyle name="]_x000d__x000a_Width=797_x000d__x000a_Height=554_x000d__x000a__x000d__x000a_[Code]_x000d__x000a_Code0=/nyf50_x000d__x000a_Code1=4500000136_x000d__x000a_Code2=ME23_x000d__x000a_Code3=4500002322_x000d__x000a_Code4=#_x000d__x000a_Code5=MB01_x000d__x000a_ 2" xfId="35" xr:uid="{00000000-0005-0000-0000-000022000000}"/>
    <cellStyle name="]_x000d__x000a_Width=797_x000d__x000a_Height=554_x000d__x000a__x000d__x000a_[Code]_x000d__x000a_Code0=/nyf50_x000d__x000a_Code1=4500000136_x000d__x000a_Code2=ME23_x000d__x000a_Code3=4500002322_x000d__x000a_Code4=#_x000d__x000a_Code5=MB01_x000d__x000a_ 2 2" xfId="36" xr:uid="{00000000-0005-0000-0000-000023000000}"/>
    <cellStyle name="]_x000d__x000a_Width=797_x000d__x000a_Height=554_x000d__x000a__x000d__x000a_[Code]_x000d__x000a_Code0=/nyf50_x000d__x000a_Code1=4500000136_x000d__x000a_Code2=ME23_x000d__x000a_Code3=4500002322_x000d__x000a_Code4=#_x000d__x000a_Code5=MB01_x000d__x000a_ 3" xfId="37" xr:uid="{00000000-0005-0000-0000-000024000000}"/>
    <cellStyle name="]_x000d__x000a_Width=797_x000d__x000a_Height=554_x000d__x000a__x000d__x000a_[Code]_x000d__x000a_Code0=/nyf50_x000d__x000a_Code1=4500000136_x000d__x000a_Code2=ME23_x000d__x000a_Code3=4500002322_x000d__x000a_Code4=#_x000d__x000a_Code5=MB01_x000d__x000a_ 3 2" xfId="38" xr:uid="{00000000-0005-0000-0000-000025000000}"/>
    <cellStyle name="]_x000d__x000a_Width=797_x000d__x000a_Height=554_x000d__x000a__x000d__x000a_[Code]_x000d__x000a_Code0=/nyf50_x000d__x000a_Code1=4500000136_x000d__x000a_Code2=ME23_x000d__x000a_Code3=4500002322_x000d__x000a_Code4=#_x000d__x000a_Code5=MB01_x000d__x000a_ 4" xfId="39" xr:uid="{00000000-0005-0000-0000-000026000000}"/>
    <cellStyle name="]_x000d__x000a_Width=797_x000d__x000a_Height=554_x000d__x000a__x000d__x000a_[Code]_x000d__x000a_Code0=/nyf50_x000d__x000a_Code1=4500000136_x000d__x000a_Code2=ME23_x000d__x000a_Code3=4500002322_x000d__x000a_Code4=#_x000d__x000a_Code5=MB01_x000d__x000a__Copy of Capital Programme 2013-14  (to services) for Cabinet 2" xfId="40" xr:uid="{00000000-0005-0000-0000-000027000000}"/>
    <cellStyle name="]_x000d__x000a_Zoomed=1_x000d__x000a_Row=0_x000d__x000a_Column=0_x000d__x000a_Height=0_x000d__x000a_Width=0_x000d__x000a_FontName=FoxFont_x000d__x000a_FontStyle=0_x000d__x000a_FontSize=9_x000d__x000a_PrtFontName=FoxPrin" xfId="41" xr:uid="{00000000-0005-0000-0000-000028000000}"/>
    <cellStyle name="]_x000d__x000a_Zoomed=1_x000d__x000a_Row=0_x000d__x000a_Column=0_x000d__x000a_Height=0_x000d__x000a_Width=0_x000d__x000a_FontName=FoxFont_x000d__x000a_FontStyle=0_x000d__x000a_FontSize=9_x000d__x000a_PrtFontName=FoxPrin 2" xfId="42" xr:uid="{00000000-0005-0000-0000-000029000000}"/>
    <cellStyle name="]_x000d__x000a_Zoomed=1_x000d__x000a_Row=0_x000d__x000a_Column=0_x000d__x000a_Height=0_x000d__x000a_Width=0_x000d__x000a_FontName=FoxFont_x000d__x000a_FontStyle=0_x000d__x000a_FontSize=9_x000d__x000a_PrtFontName=FoxPrin 2 2" xfId="43" xr:uid="{00000000-0005-0000-0000-00002A000000}"/>
    <cellStyle name="]_x000d__x000a_Zoomed=1_x000d__x000a_Row=0_x000d__x000a_Column=0_x000d__x000a_Height=0_x000d__x000a_Width=0_x000d__x000a_FontName=FoxFont_x000d__x000a_FontStyle=0_x000d__x000a_FontSize=9_x000d__x000a_PrtFontName=FoxPrin 2 2 2" xfId="44" xr:uid="{00000000-0005-0000-0000-00002B000000}"/>
    <cellStyle name="]_x000d__x000a_Zoomed=1_x000d__x000a_Row=0_x000d__x000a_Column=0_x000d__x000a_Height=0_x000d__x000a_Width=0_x000d__x000a_FontName=FoxFont_x000d__x000a_FontStyle=0_x000d__x000a_FontSize=9_x000d__x000a_PrtFontName=FoxPrin 2 3" xfId="45" xr:uid="{00000000-0005-0000-0000-00002C000000}"/>
    <cellStyle name="]_x000d__x000a_Zoomed=1_x000d__x000a_Row=0_x000d__x000a_Column=0_x000d__x000a_Height=0_x000d__x000a_Width=0_x000d__x000a_FontName=FoxFont_x000d__x000a_FontStyle=0_x000d__x000a_FontSize=9_x000d__x000a_PrtFontName=FoxPrin 3" xfId="46" xr:uid="{00000000-0005-0000-0000-00002D000000}"/>
    <cellStyle name="]_x000d__x000a_Zoomed=1_x000d__x000a_Row=0_x000d__x000a_Column=0_x000d__x000a_Height=0_x000d__x000a_Width=0_x000d__x000a_FontName=FoxFont_x000d__x000a_FontStyle=0_x000d__x000a_FontSize=9_x000d__x000a_PrtFontName=FoxPrin 3 2" xfId="47" xr:uid="{00000000-0005-0000-0000-00002E000000}"/>
    <cellStyle name="]_x000d__x000a_Zoomed=1_x000d__x000a_Row=0_x000d__x000a_Column=0_x000d__x000a_Height=0_x000d__x000a_Width=0_x000d__x000a_FontName=FoxFont_x000d__x000a_FontStyle=0_x000d__x000a_FontSize=9_x000d__x000a_PrtFontName=FoxPrin 3_All Schools2" xfId="48" xr:uid="{00000000-0005-0000-0000-00002F000000}"/>
    <cellStyle name="]_x000d__x000a_Zoomed=1_x000d__x000a_Row=0_x000d__x000a_Column=0_x000d__x000a_Height=0_x000d__x000a_Width=0_x000d__x000a_FontName=FoxFont_x000d__x000a_FontStyle=0_x000d__x000a_FontSize=9_x000d__x000a_PrtFontName=FoxPrin 4" xfId="49" xr:uid="{00000000-0005-0000-0000-000030000000}"/>
    <cellStyle name="]_x000d__x000a_Zoomed=1_x000d__x000a_Row=0_x000d__x000a_Column=0_x000d__x000a_Height=0_x000d__x000a_Width=0_x000d__x000a_FontName=FoxFont_x000d__x000a_FontStyle=0_x000d__x000a_FontSize=9_x000d__x000a_PrtFontName=FoxPrin_All Schools2" xfId="50" xr:uid="{00000000-0005-0000-0000-000031000000}"/>
    <cellStyle name="_38006 University Academy Keighley MFG Calculation" xfId="51" xr:uid="{00000000-0005-0000-0000-000032000000}"/>
    <cellStyle name="~Product" xfId="52" xr:uid="{00000000-0005-0000-0000-000033000000}"/>
    <cellStyle name="~subhead" xfId="53" xr:uid="{00000000-0005-0000-0000-000034000000}"/>
    <cellStyle name="20 % - Accent1" xfId="54" xr:uid="{00000000-0005-0000-0000-000035000000}"/>
    <cellStyle name="20 % - Accent1 2" xfId="55" xr:uid="{00000000-0005-0000-0000-000036000000}"/>
    <cellStyle name="20 % - Accent2" xfId="56" xr:uid="{00000000-0005-0000-0000-000037000000}"/>
    <cellStyle name="20 % - Accent2 2" xfId="57" xr:uid="{00000000-0005-0000-0000-000038000000}"/>
    <cellStyle name="20 % - Accent3" xfId="58" xr:uid="{00000000-0005-0000-0000-000039000000}"/>
    <cellStyle name="20 % - Accent3 2" xfId="59" xr:uid="{00000000-0005-0000-0000-00003A000000}"/>
    <cellStyle name="20 % - Accent4" xfId="60" xr:uid="{00000000-0005-0000-0000-00003B000000}"/>
    <cellStyle name="20 % - Accent4 2" xfId="61" xr:uid="{00000000-0005-0000-0000-00003C000000}"/>
    <cellStyle name="20 % - Accent5" xfId="62" xr:uid="{00000000-0005-0000-0000-00003D000000}"/>
    <cellStyle name="20 % - Accent5 2" xfId="63" xr:uid="{00000000-0005-0000-0000-00003E000000}"/>
    <cellStyle name="20 % - Accent6" xfId="64" xr:uid="{00000000-0005-0000-0000-00003F000000}"/>
    <cellStyle name="20 % - Accent6 2" xfId="65" xr:uid="{00000000-0005-0000-0000-000040000000}"/>
    <cellStyle name="20% - Accent1" xfId="66" builtinId="30" customBuiltin="1"/>
    <cellStyle name="20% - Accent1 2" xfId="67" xr:uid="{00000000-0005-0000-0000-000042000000}"/>
    <cellStyle name="20% - Accent1 2 2" xfId="68" xr:uid="{00000000-0005-0000-0000-000043000000}"/>
    <cellStyle name="20% - Accent1 3" xfId="69" xr:uid="{00000000-0005-0000-0000-000044000000}"/>
    <cellStyle name="20% - Accent1 4" xfId="70" xr:uid="{00000000-0005-0000-0000-000045000000}"/>
    <cellStyle name="20% - Accent1 5" xfId="71" xr:uid="{00000000-0005-0000-0000-000046000000}"/>
    <cellStyle name="20% - Accent2" xfId="72" builtinId="34" customBuiltin="1"/>
    <cellStyle name="20% - Accent2 2" xfId="73" xr:uid="{00000000-0005-0000-0000-000048000000}"/>
    <cellStyle name="20% - Accent2 2 2" xfId="74" xr:uid="{00000000-0005-0000-0000-000049000000}"/>
    <cellStyle name="20% - Accent2 3" xfId="75" xr:uid="{00000000-0005-0000-0000-00004A000000}"/>
    <cellStyle name="20% - Accent2 4" xfId="76" xr:uid="{00000000-0005-0000-0000-00004B000000}"/>
    <cellStyle name="20% - Accent2 5" xfId="77" xr:uid="{00000000-0005-0000-0000-00004C000000}"/>
    <cellStyle name="20% - Accent3" xfId="78" builtinId="38" customBuiltin="1"/>
    <cellStyle name="20% - Accent3 2" xfId="79" xr:uid="{00000000-0005-0000-0000-00004E000000}"/>
    <cellStyle name="20% - Accent3 2 2" xfId="80" xr:uid="{00000000-0005-0000-0000-00004F000000}"/>
    <cellStyle name="20% - Accent3 3" xfId="81" xr:uid="{00000000-0005-0000-0000-000050000000}"/>
    <cellStyle name="20% - Accent3 4" xfId="82" xr:uid="{00000000-0005-0000-0000-000051000000}"/>
    <cellStyle name="20% - Accent3 5" xfId="83" xr:uid="{00000000-0005-0000-0000-000052000000}"/>
    <cellStyle name="20% - Accent4" xfId="84" builtinId="42" customBuiltin="1"/>
    <cellStyle name="20% - Accent4 2" xfId="85" xr:uid="{00000000-0005-0000-0000-000054000000}"/>
    <cellStyle name="20% - Accent4 2 2" xfId="86" xr:uid="{00000000-0005-0000-0000-000055000000}"/>
    <cellStyle name="20% - Accent4 3" xfId="87" xr:uid="{00000000-0005-0000-0000-000056000000}"/>
    <cellStyle name="20% - Accent4 4" xfId="88" xr:uid="{00000000-0005-0000-0000-000057000000}"/>
    <cellStyle name="20% - Accent4 5" xfId="89" xr:uid="{00000000-0005-0000-0000-000058000000}"/>
    <cellStyle name="20% - Accent5" xfId="90" builtinId="46" customBuiltin="1"/>
    <cellStyle name="20% - Accent5 2" xfId="91" xr:uid="{00000000-0005-0000-0000-00005A000000}"/>
    <cellStyle name="20% - Accent5 2 2" xfId="92" xr:uid="{00000000-0005-0000-0000-00005B000000}"/>
    <cellStyle name="20% - Accent5 3" xfId="93" xr:uid="{00000000-0005-0000-0000-00005C000000}"/>
    <cellStyle name="20% - Accent5 4" xfId="94" xr:uid="{00000000-0005-0000-0000-00005D000000}"/>
    <cellStyle name="20% - Accent5 5" xfId="95" xr:uid="{00000000-0005-0000-0000-00005E000000}"/>
    <cellStyle name="20% - Accent6" xfId="96" builtinId="50" customBuiltin="1"/>
    <cellStyle name="20% - Accent6 2" xfId="97" xr:uid="{00000000-0005-0000-0000-000060000000}"/>
    <cellStyle name="20% - Accent6 2 2" xfId="98" xr:uid="{00000000-0005-0000-0000-000061000000}"/>
    <cellStyle name="20% - Accent6 3" xfId="99" xr:uid="{00000000-0005-0000-0000-000062000000}"/>
    <cellStyle name="20% - Accent6 4" xfId="100" xr:uid="{00000000-0005-0000-0000-000063000000}"/>
    <cellStyle name="20% - Accent6 5" xfId="101" xr:uid="{00000000-0005-0000-0000-000064000000}"/>
    <cellStyle name="40 % - Accent1" xfId="102" xr:uid="{00000000-0005-0000-0000-000065000000}"/>
    <cellStyle name="40 % - Accent1 2" xfId="103" xr:uid="{00000000-0005-0000-0000-000066000000}"/>
    <cellStyle name="40 % - Accent2" xfId="104" xr:uid="{00000000-0005-0000-0000-000067000000}"/>
    <cellStyle name="40 % - Accent2 2" xfId="105" xr:uid="{00000000-0005-0000-0000-000068000000}"/>
    <cellStyle name="40 % - Accent3" xfId="106" xr:uid="{00000000-0005-0000-0000-000069000000}"/>
    <cellStyle name="40 % - Accent3 2" xfId="107" xr:uid="{00000000-0005-0000-0000-00006A000000}"/>
    <cellStyle name="40 % - Accent4" xfId="108" xr:uid="{00000000-0005-0000-0000-00006B000000}"/>
    <cellStyle name="40 % - Accent4 2" xfId="109" xr:uid="{00000000-0005-0000-0000-00006C000000}"/>
    <cellStyle name="40 % - Accent5" xfId="110" xr:uid="{00000000-0005-0000-0000-00006D000000}"/>
    <cellStyle name="40 % - Accent5 2" xfId="111" xr:uid="{00000000-0005-0000-0000-00006E000000}"/>
    <cellStyle name="40 % - Accent6" xfId="112" xr:uid="{00000000-0005-0000-0000-00006F000000}"/>
    <cellStyle name="40 % - Accent6 2" xfId="113" xr:uid="{00000000-0005-0000-0000-000070000000}"/>
    <cellStyle name="40% - Accent1" xfId="114" builtinId="31" customBuiltin="1"/>
    <cellStyle name="40% - Accent1 2" xfId="115" xr:uid="{00000000-0005-0000-0000-000072000000}"/>
    <cellStyle name="40% - Accent1 2 2" xfId="116" xr:uid="{00000000-0005-0000-0000-000073000000}"/>
    <cellStyle name="40% - Accent1 3" xfId="117" xr:uid="{00000000-0005-0000-0000-000074000000}"/>
    <cellStyle name="40% - Accent1 4" xfId="118" xr:uid="{00000000-0005-0000-0000-000075000000}"/>
    <cellStyle name="40% - Accent1 5" xfId="119" xr:uid="{00000000-0005-0000-0000-000076000000}"/>
    <cellStyle name="40% - Accent2" xfId="120" builtinId="35" customBuiltin="1"/>
    <cellStyle name="40% - Accent2 2" xfId="121" xr:uid="{00000000-0005-0000-0000-000078000000}"/>
    <cellStyle name="40% - Accent2 2 2" xfId="122" xr:uid="{00000000-0005-0000-0000-000079000000}"/>
    <cellStyle name="40% - Accent2 3" xfId="123" xr:uid="{00000000-0005-0000-0000-00007A000000}"/>
    <cellStyle name="40% - Accent2 4" xfId="124" xr:uid="{00000000-0005-0000-0000-00007B000000}"/>
    <cellStyle name="40% - Accent2 5" xfId="125" xr:uid="{00000000-0005-0000-0000-00007C000000}"/>
    <cellStyle name="40% - Accent3" xfId="126" builtinId="39" customBuiltin="1"/>
    <cellStyle name="40% - Accent3 2" xfId="127" xr:uid="{00000000-0005-0000-0000-00007E000000}"/>
    <cellStyle name="40% - Accent3 2 2" xfId="128" xr:uid="{00000000-0005-0000-0000-00007F000000}"/>
    <cellStyle name="40% - Accent3 3" xfId="129" xr:uid="{00000000-0005-0000-0000-000080000000}"/>
    <cellStyle name="40% - Accent3 4" xfId="130" xr:uid="{00000000-0005-0000-0000-000081000000}"/>
    <cellStyle name="40% - Accent3 5" xfId="131" xr:uid="{00000000-0005-0000-0000-000082000000}"/>
    <cellStyle name="40% - Accent4" xfId="132" builtinId="43" customBuiltin="1"/>
    <cellStyle name="40% - Accent4 2" xfId="133" xr:uid="{00000000-0005-0000-0000-000084000000}"/>
    <cellStyle name="40% - Accent4 2 2" xfId="134" xr:uid="{00000000-0005-0000-0000-000085000000}"/>
    <cellStyle name="40% - Accent4 3" xfId="135" xr:uid="{00000000-0005-0000-0000-000086000000}"/>
    <cellStyle name="40% - Accent4 4" xfId="136" xr:uid="{00000000-0005-0000-0000-000087000000}"/>
    <cellStyle name="40% - Accent4 5" xfId="137" xr:uid="{00000000-0005-0000-0000-000088000000}"/>
    <cellStyle name="40% - Accent5" xfId="138" builtinId="47" customBuiltin="1"/>
    <cellStyle name="40% - Accent5 2" xfId="139" xr:uid="{00000000-0005-0000-0000-00008A000000}"/>
    <cellStyle name="40% - Accent5 2 2" xfId="140" xr:uid="{00000000-0005-0000-0000-00008B000000}"/>
    <cellStyle name="40% - Accent5 3" xfId="141" xr:uid="{00000000-0005-0000-0000-00008C000000}"/>
    <cellStyle name="40% - Accent5 4" xfId="142" xr:uid="{00000000-0005-0000-0000-00008D000000}"/>
    <cellStyle name="40% - Accent5 5" xfId="143" xr:uid="{00000000-0005-0000-0000-00008E000000}"/>
    <cellStyle name="40% - Accent6" xfId="144" builtinId="51" customBuiltin="1"/>
    <cellStyle name="40% - Accent6 2" xfId="145" xr:uid="{00000000-0005-0000-0000-000090000000}"/>
    <cellStyle name="40% - Accent6 2 2" xfId="146" xr:uid="{00000000-0005-0000-0000-000091000000}"/>
    <cellStyle name="40% - Accent6 3" xfId="147" xr:uid="{00000000-0005-0000-0000-000092000000}"/>
    <cellStyle name="40% - Accent6 4" xfId="148" xr:uid="{00000000-0005-0000-0000-000093000000}"/>
    <cellStyle name="40% - Accent6 5" xfId="149" xr:uid="{00000000-0005-0000-0000-000094000000}"/>
    <cellStyle name="60 % - Accent1" xfId="150" xr:uid="{00000000-0005-0000-0000-000095000000}"/>
    <cellStyle name="60 % - Accent2" xfId="151" xr:uid="{00000000-0005-0000-0000-000096000000}"/>
    <cellStyle name="60 % - Accent3" xfId="152" xr:uid="{00000000-0005-0000-0000-000097000000}"/>
    <cellStyle name="60 % - Accent4" xfId="153" xr:uid="{00000000-0005-0000-0000-000098000000}"/>
    <cellStyle name="60 % - Accent5" xfId="154" xr:uid="{00000000-0005-0000-0000-000099000000}"/>
    <cellStyle name="60 % - Accent6" xfId="155" xr:uid="{00000000-0005-0000-0000-00009A000000}"/>
    <cellStyle name="60% - Accent1" xfId="156" builtinId="32" customBuiltin="1"/>
    <cellStyle name="60% - Accent1 2" xfId="157" xr:uid="{00000000-0005-0000-0000-00009C000000}"/>
    <cellStyle name="60% - Accent1 2 2" xfId="158" xr:uid="{00000000-0005-0000-0000-00009D000000}"/>
    <cellStyle name="60% - Accent1 3" xfId="159" xr:uid="{00000000-0005-0000-0000-00009E000000}"/>
    <cellStyle name="60% - Accent1 4" xfId="160" xr:uid="{00000000-0005-0000-0000-00009F000000}"/>
    <cellStyle name="60% - Accent1 5" xfId="161" xr:uid="{00000000-0005-0000-0000-0000A0000000}"/>
    <cellStyle name="60% - Accent2" xfId="162" builtinId="36" customBuiltin="1"/>
    <cellStyle name="60% - Accent2 2" xfId="163" xr:uid="{00000000-0005-0000-0000-0000A2000000}"/>
    <cellStyle name="60% - Accent2 2 2" xfId="164" xr:uid="{00000000-0005-0000-0000-0000A3000000}"/>
    <cellStyle name="60% - Accent2 3" xfId="165" xr:uid="{00000000-0005-0000-0000-0000A4000000}"/>
    <cellStyle name="60% - Accent2 4" xfId="166" xr:uid="{00000000-0005-0000-0000-0000A5000000}"/>
    <cellStyle name="60% - Accent2 5" xfId="167" xr:uid="{00000000-0005-0000-0000-0000A6000000}"/>
    <cellStyle name="60% - Accent3" xfId="168" builtinId="40" customBuiltin="1"/>
    <cellStyle name="60% - Accent3 2" xfId="169" xr:uid="{00000000-0005-0000-0000-0000A8000000}"/>
    <cellStyle name="60% - Accent3 2 2" xfId="170" xr:uid="{00000000-0005-0000-0000-0000A9000000}"/>
    <cellStyle name="60% - Accent3 3" xfId="171" xr:uid="{00000000-0005-0000-0000-0000AA000000}"/>
    <cellStyle name="60% - Accent3 4" xfId="172" xr:uid="{00000000-0005-0000-0000-0000AB000000}"/>
    <cellStyle name="60% - Accent3 5" xfId="173" xr:uid="{00000000-0005-0000-0000-0000AC000000}"/>
    <cellStyle name="60% - Accent4" xfId="174" builtinId="44" customBuiltin="1"/>
    <cellStyle name="60% - Accent4 2" xfId="175" xr:uid="{00000000-0005-0000-0000-0000AE000000}"/>
    <cellStyle name="60% - Accent4 2 2" xfId="176" xr:uid="{00000000-0005-0000-0000-0000AF000000}"/>
    <cellStyle name="60% - Accent4 3" xfId="177" xr:uid="{00000000-0005-0000-0000-0000B0000000}"/>
    <cellStyle name="60% - Accent4 4" xfId="178" xr:uid="{00000000-0005-0000-0000-0000B1000000}"/>
    <cellStyle name="60% - Accent4 5" xfId="179" xr:uid="{00000000-0005-0000-0000-0000B2000000}"/>
    <cellStyle name="60% - Accent5" xfId="180" builtinId="48" customBuiltin="1"/>
    <cellStyle name="60% - Accent5 2" xfId="181" xr:uid="{00000000-0005-0000-0000-0000B4000000}"/>
    <cellStyle name="60% - Accent5 2 2" xfId="182" xr:uid="{00000000-0005-0000-0000-0000B5000000}"/>
    <cellStyle name="60% - Accent5 3" xfId="183" xr:uid="{00000000-0005-0000-0000-0000B6000000}"/>
    <cellStyle name="60% - Accent5 4" xfId="184" xr:uid="{00000000-0005-0000-0000-0000B7000000}"/>
    <cellStyle name="60% - Accent5 5" xfId="185" xr:uid="{00000000-0005-0000-0000-0000B8000000}"/>
    <cellStyle name="60% - Accent6" xfId="186" builtinId="52" customBuiltin="1"/>
    <cellStyle name="60% - Accent6 2" xfId="187" xr:uid="{00000000-0005-0000-0000-0000BA000000}"/>
    <cellStyle name="60% - Accent6 2 2" xfId="188" xr:uid="{00000000-0005-0000-0000-0000BB000000}"/>
    <cellStyle name="60% - Accent6 3" xfId="189" xr:uid="{00000000-0005-0000-0000-0000BC000000}"/>
    <cellStyle name="60% - Accent6 4" xfId="190" xr:uid="{00000000-0005-0000-0000-0000BD000000}"/>
    <cellStyle name="60% - Accent6 5" xfId="191" xr:uid="{00000000-0005-0000-0000-0000BE000000}"/>
    <cellStyle name="Accent1" xfId="192" builtinId="29" customBuiltin="1"/>
    <cellStyle name="Accent1 2" xfId="193" xr:uid="{00000000-0005-0000-0000-0000C0000000}"/>
    <cellStyle name="Accent1 2 2" xfId="194" xr:uid="{00000000-0005-0000-0000-0000C1000000}"/>
    <cellStyle name="Accent1 3" xfId="195" xr:uid="{00000000-0005-0000-0000-0000C2000000}"/>
    <cellStyle name="Accent1 4" xfId="196" xr:uid="{00000000-0005-0000-0000-0000C3000000}"/>
    <cellStyle name="Accent1 5" xfId="197" xr:uid="{00000000-0005-0000-0000-0000C4000000}"/>
    <cellStyle name="Accent2" xfId="198" builtinId="33" customBuiltin="1"/>
    <cellStyle name="Accent2 2" xfId="199" xr:uid="{00000000-0005-0000-0000-0000C6000000}"/>
    <cellStyle name="Accent2 2 2" xfId="200" xr:uid="{00000000-0005-0000-0000-0000C7000000}"/>
    <cellStyle name="Accent2 3" xfId="201" xr:uid="{00000000-0005-0000-0000-0000C8000000}"/>
    <cellStyle name="Accent2 4" xfId="202" xr:uid="{00000000-0005-0000-0000-0000C9000000}"/>
    <cellStyle name="Accent2 5" xfId="203" xr:uid="{00000000-0005-0000-0000-0000CA000000}"/>
    <cellStyle name="Accent3" xfId="204" builtinId="37" customBuiltin="1"/>
    <cellStyle name="Accent3 2" xfId="205" xr:uid="{00000000-0005-0000-0000-0000CC000000}"/>
    <cellStyle name="Accent3 2 2" xfId="206" xr:uid="{00000000-0005-0000-0000-0000CD000000}"/>
    <cellStyle name="Accent3 3" xfId="207" xr:uid="{00000000-0005-0000-0000-0000CE000000}"/>
    <cellStyle name="Accent3 4" xfId="208" xr:uid="{00000000-0005-0000-0000-0000CF000000}"/>
    <cellStyle name="Accent3 5" xfId="209" xr:uid="{00000000-0005-0000-0000-0000D0000000}"/>
    <cellStyle name="Accent4" xfId="210" builtinId="41" customBuiltin="1"/>
    <cellStyle name="Accent4 2" xfId="211" xr:uid="{00000000-0005-0000-0000-0000D2000000}"/>
    <cellStyle name="Accent4 2 2" xfId="212" xr:uid="{00000000-0005-0000-0000-0000D3000000}"/>
    <cellStyle name="Accent4 3" xfId="213" xr:uid="{00000000-0005-0000-0000-0000D4000000}"/>
    <cellStyle name="Accent4 4" xfId="214" xr:uid="{00000000-0005-0000-0000-0000D5000000}"/>
    <cellStyle name="Accent4 5" xfId="215" xr:uid="{00000000-0005-0000-0000-0000D6000000}"/>
    <cellStyle name="Accent5" xfId="216" builtinId="45" customBuiltin="1"/>
    <cellStyle name="Accent5 2" xfId="217" xr:uid="{00000000-0005-0000-0000-0000D8000000}"/>
    <cellStyle name="Accent5 2 2" xfId="218" xr:uid="{00000000-0005-0000-0000-0000D9000000}"/>
    <cellStyle name="Accent5 3" xfId="219" xr:uid="{00000000-0005-0000-0000-0000DA000000}"/>
    <cellStyle name="Accent5 4" xfId="220" xr:uid="{00000000-0005-0000-0000-0000DB000000}"/>
    <cellStyle name="Accent5 5" xfId="221" xr:uid="{00000000-0005-0000-0000-0000DC000000}"/>
    <cellStyle name="Accent6" xfId="222" builtinId="49" customBuiltin="1"/>
    <cellStyle name="Accent6 2" xfId="223" xr:uid="{00000000-0005-0000-0000-0000DE000000}"/>
    <cellStyle name="Accent6 2 2" xfId="224" xr:uid="{00000000-0005-0000-0000-0000DF000000}"/>
    <cellStyle name="Accent6 3" xfId="225" xr:uid="{00000000-0005-0000-0000-0000E0000000}"/>
    <cellStyle name="Accent6 4" xfId="226" xr:uid="{00000000-0005-0000-0000-0000E1000000}"/>
    <cellStyle name="Accent6 5" xfId="227" xr:uid="{00000000-0005-0000-0000-0000E2000000}"/>
    <cellStyle name="active" xfId="228" xr:uid="{00000000-0005-0000-0000-0000E3000000}"/>
    <cellStyle name="Avertissement" xfId="229" xr:uid="{00000000-0005-0000-0000-0000E4000000}"/>
    <cellStyle name="Bad" xfId="230" builtinId="27" customBuiltin="1"/>
    <cellStyle name="Bad 2" xfId="231" xr:uid="{00000000-0005-0000-0000-0000E6000000}"/>
    <cellStyle name="Bad 2 2" xfId="232" xr:uid="{00000000-0005-0000-0000-0000E7000000}"/>
    <cellStyle name="Bad 3" xfId="233" xr:uid="{00000000-0005-0000-0000-0000E8000000}"/>
    <cellStyle name="Bad 4" xfId="234" xr:uid="{00000000-0005-0000-0000-0000E9000000}"/>
    <cellStyle name="Bad 5" xfId="235" xr:uid="{00000000-0005-0000-0000-0000EA000000}"/>
    <cellStyle name="Calc Currency (0)" xfId="236" xr:uid="{00000000-0005-0000-0000-0000EB000000}"/>
    <cellStyle name="Calc Currency (2)" xfId="237" xr:uid="{00000000-0005-0000-0000-0000EC000000}"/>
    <cellStyle name="Calc Percent (0)" xfId="238" xr:uid="{00000000-0005-0000-0000-0000ED000000}"/>
    <cellStyle name="Calc Percent (1)" xfId="239" xr:uid="{00000000-0005-0000-0000-0000EE000000}"/>
    <cellStyle name="Calc Percent (2)" xfId="240" xr:uid="{00000000-0005-0000-0000-0000EF000000}"/>
    <cellStyle name="Calc Units (0)" xfId="241" xr:uid="{00000000-0005-0000-0000-0000F0000000}"/>
    <cellStyle name="Calc Units (1)" xfId="242" xr:uid="{00000000-0005-0000-0000-0000F1000000}"/>
    <cellStyle name="Calc Units (2)" xfId="243" xr:uid="{00000000-0005-0000-0000-0000F2000000}"/>
    <cellStyle name="Calcul" xfId="244" xr:uid="{00000000-0005-0000-0000-0000F3000000}"/>
    <cellStyle name="Calculation" xfId="245" builtinId="22" customBuiltin="1"/>
    <cellStyle name="Calculation 2" xfId="246" xr:uid="{00000000-0005-0000-0000-0000F5000000}"/>
    <cellStyle name="Calculation 2 2" xfId="247" xr:uid="{00000000-0005-0000-0000-0000F6000000}"/>
    <cellStyle name="Calculation 2 2 2" xfId="248" xr:uid="{00000000-0005-0000-0000-0000F7000000}"/>
    <cellStyle name="Calculation 2 2 2 2" xfId="249" xr:uid="{00000000-0005-0000-0000-0000F8000000}"/>
    <cellStyle name="Calculation 2 2 2 3" xfId="250" xr:uid="{00000000-0005-0000-0000-0000F9000000}"/>
    <cellStyle name="Calculation 2 2 3" xfId="251" xr:uid="{00000000-0005-0000-0000-0000FA000000}"/>
    <cellStyle name="Calculation 2 2 4" xfId="252" xr:uid="{00000000-0005-0000-0000-0000FB000000}"/>
    <cellStyle name="Calculation 2 3" xfId="253" xr:uid="{00000000-0005-0000-0000-0000FC000000}"/>
    <cellStyle name="Calculation 2 3 2" xfId="254" xr:uid="{00000000-0005-0000-0000-0000FD000000}"/>
    <cellStyle name="Calculation 2 3 3" xfId="255" xr:uid="{00000000-0005-0000-0000-0000FE000000}"/>
    <cellStyle name="Calculation 2 4" xfId="256" xr:uid="{00000000-0005-0000-0000-0000FF000000}"/>
    <cellStyle name="Calculation 2 4 2" xfId="257" xr:uid="{00000000-0005-0000-0000-000000010000}"/>
    <cellStyle name="Calculation 2 4 3" xfId="258" xr:uid="{00000000-0005-0000-0000-000001010000}"/>
    <cellStyle name="Calculation 2 5" xfId="259" xr:uid="{00000000-0005-0000-0000-000002010000}"/>
    <cellStyle name="Calculation 3" xfId="260" xr:uid="{00000000-0005-0000-0000-000003010000}"/>
    <cellStyle name="Calculation 3 2" xfId="261" xr:uid="{00000000-0005-0000-0000-000004010000}"/>
    <cellStyle name="Calculation 3 2 2" xfId="262" xr:uid="{00000000-0005-0000-0000-000005010000}"/>
    <cellStyle name="Calculation 3 2 2 2" xfId="263" xr:uid="{00000000-0005-0000-0000-000006010000}"/>
    <cellStyle name="Calculation 3 2 2 3" xfId="264" xr:uid="{00000000-0005-0000-0000-000007010000}"/>
    <cellStyle name="Calculation 3 2 3" xfId="265" xr:uid="{00000000-0005-0000-0000-000008010000}"/>
    <cellStyle name="Calculation 3 2 4" xfId="266" xr:uid="{00000000-0005-0000-0000-000009010000}"/>
    <cellStyle name="Calculation 3 3" xfId="267" xr:uid="{00000000-0005-0000-0000-00000A010000}"/>
    <cellStyle name="Calculation 3 3 2" xfId="268" xr:uid="{00000000-0005-0000-0000-00000B010000}"/>
    <cellStyle name="Calculation 3 3 3" xfId="269" xr:uid="{00000000-0005-0000-0000-00000C010000}"/>
    <cellStyle name="Calculation 3 4" xfId="270" xr:uid="{00000000-0005-0000-0000-00000D010000}"/>
    <cellStyle name="Calculation 3 4 2" xfId="271" xr:uid="{00000000-0005-0000-0000-00000E010000}"/>
    <cellStyle name="Calculation 3 4 3" xfId="272" xr:uid="{00000000-0005-0000-0000-00000F010000}"/>
    <cellStyle name="Calculation 3 5" xfId="273" xr:uid="{00000000-0005-0000-0000-000010010000}"/>
    <cellStyle name="Calculation 4" xfId="274" xr:uid="{00000000-0005-0000-0000-000011010000}"/>
    <cellStyle name="Calculation 4 2" xfId="275" xr:uid="{00000000-0005-0000-0000-000012010000}"/>
    <cellStyle name="Calculation 4 2 2" xfId="276" xr:uid="{00000000-0005-0000-0000-000013010000}"/>
    <cellStyle name="Calculation 4 2 2 2" xfId="277" xr:uid="{00000000-0005-0000-0000-000014010000}"/>
    <cellStyle name="Calculation 4 2 2 3" xfId="278" xr:uid="{00000000-0005-0000-0000-000015010000}"/>
    <cellStyle name="Calculation 4 2 3" xfId="279" xr:uid="{00000000-0005-0000-0000-000016010000}"/>
    <cellStyle name="Calculation 4 2 4" xfId="280" xr:uid="{00000000-0005-0000-0000-000017010000}"/>
    <cellStyle name="Calculation 4 3" xfId="281" xr:uid="{00000000-0005-0000-0000-000018010000}"/>
    <cellStyle name="Calculation 4 3 2" xfId="282" xr:uid="{00000000-0005-0000-0000-000019010000}"/>
    <cellStyle name="Calculation 4 3 3" xfId="283" xr:uid="{00000000-0005-0000-0000-00001A010000}"/>
    <cellStyle name="Calculation 4 4" xfId="284" xr:uid="{00000000-0005-0000-0000-00001B010000}"/>
    <cellStyle name="Calculation 4 4 2" xfId="285" xr:uid="{00000000-0005-0000-0000-00001C010000}"/>
    <cellStyle name="Calculation 4 4 3" xfId="286" xr:uid="{00000000-0005-0000-0000-00001D010000}"/>
    <cellStyle name="Calculation 4 5" xfId="287" xr:uid="{00000000-0005-0000-0000-00001E010000}"/>
    <cellStyle name="Calculation 5" xfId="288" xr:uid="{00000000-0005-0000-0000-00001F010000}"/>
    <cellStyle name="Calculation 5 2" xfId="289" xr:uid="{00000000-0005-0000-0000-000020010000}"/>
    <cellStyle name="Calculation 5 2 2" xfId="290" xr:uid="{00000000-0005-0000-0000-000021010000}"/>
    <cellStyle name="Calculation 5 2 3" xfId="291" xr:uid="{00000000-0005-0000-0000-000022010000}"/>
    <cellStyle name="Calculation 5 3" xfId="292" xr:uid="{00000000-0005-0000-0000-000023010000}"/>
    <cellStyle name="Calculation 5 4" xfId="293" xr:uid="{00000000-0005-0000-0000-000024010000}"/>
    <cellStyle name="Calculation 6" xfId="294" xr:uid="{00000000-0005-0000-0000-000025010000}"/>
    <cellStyle name="Calculation 6 2" xfId="295" xr:uid="{00000000-0005-0000-0000-000026010000}"/>
    <cellStyle name="Calculation 6 2 2" xfId="296" xr:uid="{00000000-0005-0000-0000-000027010000}"/>
    <cellStyle name="Calculation 6 2 3" xfId="297" xr:uid="{00000000-0005-0000-0000-000028010000}"/>
    <cellStyle name="Calculation 6 3" xfId="298" xr:uid="{00000000-0005-0000-0000-000029010000}"/>
    <cellStyle name="Calculation 6 4" xfId="299" xr:uid="{00000000-0005-0000-0000-00002A010000}"/>
    <cellStyle name="Calculation 7" xfId="300" xr:uid="{00000000-0005-0000-0000-00002B010000}"/>
    <cellStyle name="Calculation 7 2" xfId="301" xr:uid="{00000000-0005-0000-0000-00002C010000}"/>
    <cellStyle name="Calculation 7 3" xfId="302" xr:uid="{00000000-0005-0000-0000-00002D010000}"/>
    <cellStyle name="Calculation 8" xfId="303" xr:uid="{00000000-0005-0000-0000-00002E010000}"/>
    <cellStyle name="Cellule liée" xfId="304" xr:uid="{00000000-0005-0000-0000-00002F010000}"/>
    <cellStyle name="centre across selection" xfId="305" xr:uid="{00000000-0005-0000-0000-000030010000}"/>
    <cellStyle name="Check Cell" xfId="306" builtinId="23" customBuiltin="1"/>
    <cellStyle name="Check Cell 2" xfId="307" xr:uid="{00000000-0005-0000-0000-000032010000}"/>
    <cellStyle name="Check Cell 2 2" xfId="308" xr:uid="{00000000-0005-0000-0000-000033010000}"/>
    <cellStyle name="Check Cell 3" xfId="309" xr:uid="{00000000-0005-0000-0000-000034010000}"/>
    <cellStyle name="Check Cell 4" xfId="310" xr:uid="{00000000-0005-0000-0000-000035010000}"/>
    <cellStyle name="Check Cell 5" xfId="311" xr:uid="{00000000-0005-0000-0000-000036010000}"/>
    <cellStyle name="Comma" xfId="312" builtinId="3"/>
    <cellStyle name="Comma [00]" xfId="313" xr:uid="{00000000-0005-0000-0000-000038010000}"/>
    <cellStyle name="Comma 10" xfId="314" xr:uid="{00000000-0005-0000-0000-000039010000}"/>
    <cellStyle name="Comma 10 2" xfId="315" xr:uid="{00000000-0005-0000-0000-00003A010000}"/>
    <cellStyle name="Comma 11" xfId="316" xr:uid="{00000000-0005-0000-0000-00003B010000}"/>
    <cellStyle name="Comma 12" xfId="317" xr:uid="{00000000-0005-0000-0000-00003C010000}"/>
    <cellStyle name="Comma 13" xfId="318" xr:uid="{00000000-0005-0000-0000-00003D010000}"/>
    <cellStyle name="Comma 2" xfId="319" xr:uid="{00000000-0005-0000-0000-00003E010000}"/>
    <cellStyle name="Comma 2 10" xfId="320" xr:uid="{00000000-0005-0000-0000-00003F010000}"/>
    <cellStyle name="Comma 2 11" xfId="321" xr:uid="{00000000-0005-0000-0000-000040010000}"/>
    <cellStyle name="Comma 2 12" xfId="322" xr:uid="{00000000-0005-0000-0000-000041010000}"/>
    <cellStyle name="Comma 2 12 2" xfId="323" xr:uid="{00000000-0005-0000-0000-000042010000}"/>
    <cellStyle name="Comma 2 13" xfId="324" xr:uid="{00000000-0005-0000-0000-000043010000}"/>
    <cellStyle name="Comma 2 13 2" xfId="325" xr:uid="{00000000-0005-0000-0000-000044010000}"/>
    <cellStyle name="Comma 2 14" xfId="326" xr:uid="{00000000-0005-0000-0000-000045010000}"/>
    <cellStyle name="Comma 2 2" xfId="327" xr:uid="{00000000-0005-0000-0000-000046010000}"/>
    <cellStyle name="Comma 2 2 2" xfId="328" xr:uid="{00000000-0005-0000-0000-000047010000}"/>
    <cellStyle name="Comma 2 2 2 2" xfId="329" xr:uid="{00000000-0005-0000-0000-000048010000}"/>
    <cellStyle name="Comma 2 3" xfId="330" xr:uid="{00000000-0005-0000-0000-000049010000}"/>
    <cellStyle name="Comma 2 4" xfId="331" xr:uid="{00000000-0005-0000-0000-00004A010000}"/>
    <cellStyle name="Comma 2 5" xfId="332" xr:uid="{00000000-0005-0000-0000-00004B010000}"/>
    <cellStyle name="Comma 2 6" xfId="333" xr:uid="{00000000-0005-0000-0000-00004C010000}"/>
    <cellStyle name="Comma 2 7" xfId="334" xr:uid="{00000000-0005-0000-0000-00004D010000}"/>
    <cellStyle name="Comma 2 8" xfId="335" xr:uid="{00000000-0005-0000-0000-00004E010000}"/>
    <cellStyle name="Comma 2 9" xfId="336" xr:uid="{00000000-0005-0000-0000-00004F010000}"/>
    <cellStyle name="Comma 3" xfId="337" xr:uid="{00000000-0005-0000-0000-000050010000}"/>
    <cellStyle name="Comma 3 2" xfId="338" xr:uid="{00000000-0005-0000-0000-000051010000}"/>
    <cellStyle name="Comma 4" xfId="339" xr:uid="{00000000-0005-0000-0000-000052010000}"/>
    <cellStyle name="Comma 4 2" xfId="340" xr:uid="{00000000-0005-0000-0000-000053010000}"/>
    <cellStyle name="Comma 5" xfId="341" xr:uid="{00000000-0005-0000-0000-000054010000}"/>
    <cellStyle name="Comma 5 2" xfId="342" xr:uid="{00000000-0005-0000-0000-000055010000}"/>
    <cellStyle name="Comma 6" xfId="343" xr:uid="{00000000-0005-0000-0000-000056010000}"/>
    <cellStyle name="Comma 6 2" xfId="344" xr:uid="{00000000-0005-0000-0000-000057010000}"/>
    <cellStyle name="Comma 7" xfId="345" xr:uid="{00000000-0005-0000-0000-000058010000}"/>
    <cellStyle name="Comma 7 2" xfId="346" xr:uid="{00000000-0005-0000-0000-000059010000}"/>
    <cellStyle name="Comma 7 3" xfId="347" xr:uid="{00000000-0005-0000-0000-00005A010000}"/>
    <cellStyle name="Comma 8" xfId="348" xr:uid="{00000000-0005-0000-0000-00005B010000}"/>
    <cellStyle name="Comma 8 2" xfId="349" xr:uid="{00000000-0005-0000-0000-00005C010000}"/>
    <cellStyle name="Comma 9" xfId="350" xr:uid="{00000000-0005-0000-0000-00005D010000}"/>
    <cellStyle name="Comma 9 2" xfId="351" xr:uid="{00000000-0005-0000-0000-00005E010000}"/>
    <cellStyle name="Comma0" xfId="352" xr:uid="{00000000-0005-0000-0000-00005F010000}"/>
    <cellStyle name="Commentaire" xfId="353" xr:uid="{00000000-0005-0000-0000-000060010000}"/>
    <cellStyle name="Currency [00]" xfId="354" xr:uid="{00000000-0005-0000-0000-000061010000}"/>
    <cellStyle name="Currency 10" xfId="355" xr:uid="{00000000-0005-0000-0000-000062010000}"/>
    <cellStyle name="Currency 11" xfId="356" xr:uid="{00000000-0005-0000-0000-000063010000}"/>
    <cellStyle name="Currency 12" xfId="357" xr:uid="{00000000-0005-0000-0000-000064010000}"/>
    <cellStyle name="Currency 13" xfId="358" xr:uid="{00000000-0005-0000-0000-000065010000}"/>
    <cellStyle name="Currency 14" xfId="359" xr:uid="{00000000-0005-0000-0000-000066010000}"/>
    <cellStyle name="Currency 15" xfId="360" xr:uid="{00000000-0005-0000-0000-000067010000}"/>
    <cellStyle name="Currency 16" xfId="361" xr:uid="{00000000-0005-0000-0000-000068010000}"/>
    <cellStyle name="Currency 2" xfId="362" xr:uid="{00000000-0005-0000-0000-000069010000}"/>
    <cellStyle name="Currency 2 2" xfId="363" xr:uid="{00000000-0005-0000-0000-00006A010000}"/>
    <cellStyle name="Currency 2 2 2" xfId="364" xr:uid="{00000000-0005-0000-0000-00006B010000}"/>
    <cellStyle name="Currency 2 3" xfId="365" xr:uid="{00000000-0005-0000-0000-00006C010000}"/>
    <cellStyle name="Currency 3" xfId="366" xr:uid="{00000000-0005-0000-0000-00006D010000}"/>
    <cellStyle name="Currency 3 2" xfId="367" xr:uid="{00000000-0005-0000-0000-00006E010000}"/>
    <cellStyle name="Currency 3 3" xfId="368" xr:uid="{00000000-0005-0000-0000-00006F010000}"/>
    <cellStyle name="Currency 4" xfId="369" xr:uid="{00000000-0005-0000-0000-000070010000}"/>
    <cellStyle name="Currency 5" xfId="370" xr:uid="{00000000-0005-0000-0000-000071010000}"/>
    <cellStyle name="Currency 6" xfId="371" xr:uid="{00000000-0005-0000-0000-000072010000}"/>
    <cellStyle name="Currency 7" xfId="372" xr:uid="{00000000-0005-0000-0000-000073010000}"/>
    <cellStyle name="Currency 8" xfId="373" xr:uid="{00000000-0005-0000-0000-000074010000}"/>
    <cellStyle name="Currency 9" xfId="374" xr:uid="{00000000-0005-0000-0000-000075010000}"/>
    <cellStyle name="Currency0" xfId="375" xr:uid="{00000000-0005-0000-0000-000076010000}"/>
    <cellStyle name="dak" xfId="376" xr:uid="{00000000-0005-0000-0000-000077010000}"/>
    <cellStyle name="Date" xfId="377" xr:uid="{00000000-0005-0000-0000-000078010000}"/>
    <cellStyle name="Date Short" xfId="378" xr:uid="{00000000-0005-0000-0000-000079010000}"/>
    <cellStyle name="DetailStyleText" xfId="379" xr:uid="{00000000-0005-0000-0000-00007A010000}"/>
    <cellStyle name="Emphasis 1" xfId="380" xr:uid="{00000000-0005-0000-0000-00007B010000}"/>
    <cellStyle name="Emphasis 2" xfId="381" xr:uid="{00000000-0005-0000-0000-00007C010000}"/>
    <cellStyle name="Emphasis 3" xfId="382" xr:uid="{00000000-0005-0000-0000-00007D010000}"/>
    <cellStyle name="Enter Currency (0)" xfId="383" xr:uid="{00000000-0005-0000-0000-00007E010000}"/>
    <cellStyle name="Enter Currency (2)" xfId="384" xr:uid="{00000000-0005-0000-0000-00007F010000}"/>
    <cellStyle name="Enter Units (0)" xfId="385" xr:uid="{00000000-0005-0000-0000-000080010000}"/>
    <cellStyle name="Enter Units (1)" xfId="386" xr:uid="{00000000-0005-0000-0000-000081010000}"/>
    <cellStyle name="Enter Units (2)" xfId="387" xr:uid="{00000000-0005-0000-0000-000082010000}"/>
    <cellStyle name="Entrée" xfId="388" xr:uid="{00000000-0005-0000-0000-000083010000}"/>
    <cellStyle name="Estimated" xfId="389" xr:uid="{00000000-0005-0000-0000-000084010000}"/>
    <cellStyle name="Euro" xfId="390" xr:uid="{00000000-0005-0000-0000-000085010000}"/>
    <cellStyle name="Èurrency [0]" xfId="391" xr:uid="{00000000-0005-0000-0000-000086010000}"/>
    <cellStyle name="Explanatory Text" xfId="392" builtinId="53" customBuiltin="1"/>
    <cellStyle name="Explanatory Text 2" xfId="393" xr:uid="{00000000-0005-0000-0000-000088010000}"/>
    <cellStyle name="Explanatory Text 2 2" xfId="394" xr:uid="{00000000-0005-0000-0000-000089010000}"/>
    <cellStyle name="Explanatory Text 3" xfId="395" xr:uid="{00000000-0005-0000-0000-00008A010000}"/>
    <cellStyle name="Explanatory Text 4" xfId="396" xr:uid="{00000000-0005-0000-0000-00008B010000}"/>
    <cellStyle name="Explanatory Text 5" xfId="397" xr:uid="{00000000-0005-0000-0000-00008C010000}"/>
    <cellStyle name="external input" xfId="398" xr:uid="{00000000-0005-0000-0000-00008D010000}"/>
    <cellStyle name="FinancialTitleStyle" xfId="399" xr:uid="{00000000-0005-0000-0000-00008E010000}"/>
    <cellStyle name="Fixed" xfId="400" xr:uid="{00000000-0005-0000-0000-00008F010000}"/>
    <cellStyle name="flashing" xfId="401" xr:uid="{00000000-0005-0000-0000-000090010000}"/>
    <cellStyle name="flashing 2" xfId="402" xr:uid="{00000000-0005-0000-0000-000091010000}"/>
    <cellStyle name="flashing 2 2" xfId="403" xr:uid="{00000000-0005-0000-0000-000092010000}"/>
    <cellStyle name="flashing 2 3" xfId="404" xr:uid="{00000000-0005-0000-0000-000093010000}"/>
    <cellStyle name="flashing 3" xfId="405" xr:uid="{00000000-0005-0000-0000-000094010000}"/>
    <cellStyle name="Good" xfId="406" builtinId="26" customBuiltin="1"/>
    <cellStyle name="Good 2" xfId="407" xr:uid="{00000000-0005-0000-0000-000096010000}"/>
    <cellStyle name="Good 2 2" xfId="408" xr:uid="{00000000-0005-0000-0000-000097010000}"/>
    <cellStyle name="Good 3" xfId="409" xr:uid="{00000000-0005-0000-0000-000098010000}"/>
    <cellStyle name="Good 4" xfId="410" xr:uid="{00000000-0005-0000-0000-000099010000}"/>
    <cellStyle name="Good 5" xfId="411" xr:uid="{00000000-0005-0000-0000-00009A010000}"/>
    <cellStyle name="Grey" xfId="412" xr:uid="{00000000-0005-0000-0000-00009B010000}"/>
    <cellStyle name="Header" xfId="413" xr:uid="{00000000-0005-0000-0000-00009C010000}"/>
    <cellStyle name="Header1" xfId="414" xr:uid="{00000000-0005-0000-0000-00009D010000}"/>
    <cellStyle name="Header2" xfId="415" xr:uid="{00000000-0005-0000-0000-00009E010000}"/>
    <cellStyle name="HeaderGrant" xfId="416" xr:uid="{00000000-0005-0000-0000-00009F010000}"/>
    <cellStyle name="HeaderGrant 2" xfId="417" xr:uid="{00000000-0005-0000-0000-0000A0010000}"/>
    <cellStyle name="HeaderGrant 2 2" xfId="418" xr:uid="{00000000-0005-0000-0000-0000A1010000}"/>
    <cellStyle name="HeaderGrant 2 2 2" xfId="419" xr:uid="{00000000-0005-0000-0000-0000A2010000}"/>
    <cellStyle name="HeaderGrant 2 2 3" xfId="420" xr:uid="{00000000-0005-0000-0000-0000A3010000}"/>
    <cellStyle name="HeaderGrant 2 3" xfId="421" xr:uid="{00000000-0005-0000-0000-0000A4010000}"/>
    <cellStyle name="HeaderGrant 2 3 2" xfId="422" xr:uid="{00000000-0005-0000-0000-0000A5010000}"/>
    <cellStyle name="HeaderGrant 2 3 3" xfId="423" xr:uid="{00000000-0005-0000-0000-0000A6010000}"/>
    <cellStyle name="HeaderGrant 2 4" xfId="424" xr:uid="{00000000-0005-0000-0000-0000A7010000}"/>
    <cellStyle name="HeaderGrant 2 4 2" xfId="425" xr:uid="{00000000-0005-0000-0000-0000A8010000}"/>
    <cellStyle name="HeaderGrant 2 4 3" xfId="426" xr:uid="{00000000-0005-0000-0000-0000A9010000}"/>
    <cellStyle name="HeaderGrant 2 5" xfId="427" xr:uid="{00000000-0005-0000-0000-0000AA010000}"/>
    <cellStyle name="HeaderGrant 3" xfId="428" xr:uid="{00000000-0005-0000-0000-0000AB010000}"/>
    <cellStyle name="HeaderGrant 3 2" xfId="429" xr:uid="{00000000-0005-0000-0000-0000AC010000}"/>
    <cellStyle name="HeaderGrant 3 2 2" xfId="430" xr:uid="{00000000-0005-0000-0000-0000AD010000}"/>
    <cellStyle name="HeaderGrant 3 2 3" xfId="431" xr:uid="{00000000-0005-0000-0000-0000AE010000}"/>
    <cellStyle name="HeaderGrant 3 3" xfId="432" xr:uid="{00000000-0005-0000-0000-0000AF010000}"/>
    <cellStyle name="HeaderGrant 3 3 2" xfId="433" xr:uid="{00000000-0005-0000-0000-0000B0010000}"/>
    <cellStyle name="HeaderGrant 3 3 3" xfId="434" xr:uid="{00000000-0005-0000-0000-0000B1010000}"/>
    <cellStyle name="HeaderGrant 3 4" xfId="435" xr:uid="{00000000-0005-0000-0000-0000B2010000}"/>
    <cellStyle name="HeaderGrant 3 4 2" xfId="436" xr:uid="{00000000-0005-0000-0000-0000B3010000}"/>
    <cellStyle name="HeaderGrant 3 4 3" xfId="437" xr:uid="{00000000-0005-0000-0000-0000B4010000}"/>
    <cellStyle name="HeaderGrant 3 5" xfId="438" xr:uid="{00000000-0005-0000-0000-0000B5010000}"/>
    <cellStyle name="HeaderGrant 4" xfId="439" xr:uid="{00000000-0005-0000-0000-0000B6010000}"/>
    <cellStyle name="HeaderGrant 4 2" xfId="440" xr:uid="{00000000-0005-0000-0000-0000B7010000}"/>
    <cellStyle name="HeaderGrant 4 3" xfId="441" xr:uid="{00000000-0005-0000-0000-0000B8010000}"/>
    <cellStyle name="HeaderGrant 5" xfId="442" xr:uid="{00000000-0005-0000-0000-0000B9010000}"/>
    <cellStyle name="HeaderGrant 5 2" xfId="443" xr:uid="{00000000-0005-0000-0000-0000BA010000}"/>
    <cellStyle name="HeaderGrant 5 3" xfId="444" xr:uid="{00000000-0005-0000-0000-0000BB010000}"/>
    <cellStyle name="HeaderGrant 6" xfId="445" xr:uid="{00000000-0005-0000-0000-0000BC010000}"/>
    <cellStyle name="HeaderGrant 6 2" xfId="446" xr:uid="{00000000-0005-0000-0000-0000BD010000}"/>
    <cellStyle name="HeaderGrant 6 3" xfId="447" xr:uid="{00000000-0005-0000-0000-0000BE010000}"/>
    <cellStyle name="HeaderGrant 7" xfId="448" xr:uid="{00000000-0005-0000-0000-0000BF010000}"/>
    <cellStyle name="HeaderLEA" xfId="449" xr:uid="{00000000-0005-0000-0000-0000C0010000}"/>
    <cellStyle name="Heading 1" xfId="450" builtinId="16" customBuiltin="1"/>
    <cellStyle name="Heading 1 2" xfId="451" xr:uid="{00000000-0005-0000-0000-0000C2010000}"/>
    <cellStyle name="Heading 1 2 2" xfId="452" xr:uid="{00000000-0005-0000-0000-0000C3010000}"/>
    <cellStyle name="Heading 1 3" xfId="453" xr:uid="{00000000-0005-0000-0000-0000C4010000}"/>
    <cellStyle name="Heading 1 4" xfId="454" xr:uid="{00000000-0005-0000-0000-0000C5010000}"/>
    <cellStyle name="Heading 1 5" xfId="455" xr:uid="{00000000-0005-0000-0000-0000C6010000}"/>
    <cellStyle name="Heading 2" xfId="456" builtinId="17" customBuiltin="1"/>
    <cellStyle name="Heading 2 2" xfId="457" xr:uid="{00000000-0005-0000-0000-0000C8010000}"/>
    <cellStyle name="Heading 2 2 2" xfId="458" xr:uid="{00000000-0005-0000-0000-0000C9010000}"/>
    <cellStyle name="Heading 2 3" xfId="459" xr:uid="{00000000-0005-0000-0000-0000CA010000}"/>
    <cellStyle name="Heading 2 4" xfId="460" xr:uid="{00000000-0005-0000-0000-0000CB010000}"/>
    <cellStyle name="Heading 2 5" xfId="461" xr:uid="{00000000-0005-0000-0000-0000CC010000}"/>
    <cellStyle name="Heading 3" xfId="462" builtinId="18" customBuiltin="1"/>
    <cellStyle name="Heading 3 2" xfId="463" xr:uid="{00000000-0005-0000-0000-0000CE010000}"/>
    <cellStyle name="Heading 3 2 2" xfId="464" xr:uid="{00000000-0005-0000-0000-0000CF010000}"/>
    <cellStyle name="Heading 3 3" xfId="465" xr:uid="{00000000-0005-0000-0000-0000D0010000}"/>
    <cellStyle name="Heading 3 4" xfId="466" xr:uid="{00000000-0005-0000-0000-0000D1010000}"/>
    <cellStyle name="Heading 3 5" xfId="467" xr:uid="{00000000-0005-0000-0000-0000D2010000}"/>
    <cellStyle name="Heading 4" xfId="468" builtinId="19" customBuiltin="1"/>
    <cellStyle name="Heading 4 2" xfId="469" xr:uid="{00000000-0005-0000-0000-0000D4010000}"/>
    <cellStyle name="Heading 4 2 2" xfId="470" xr:uid="{00000000-0005-0000-0000-0000D5010000}"/>
    <cellStyle name="Heading 4 3" xfId="471" xr:uid="{00000000-0005-0000-0000-0000D6010000}"/>
    <cellStyle name="Heading 4 4" xfId="472" xr:uid="{00000000-0005-0000-0000-0000D7010000}"/>
    <cellStyle name="Heading 4 5" xfId="473" xr:uid="{00000000-0005-0000-0000-0000D8010000}"/>
    <cellStyle name="Hyperlink 2" xfId="474" xr:uid="{00000000-0005-0000-0000-0000DA010000}"/>
    <cellStyle name="Hyperlink 2 2" xfId="475" xr:uid="{00000000-0005-0000-0000-0000DB010000}"/>
    <cellStyle name="Hyperlink 3" xfId="476" xr:uid="{00000000-0005-0000-0000-0000DC010000}"/>
    <cellStyle name="Hyperlink 3 2" xfId="477" xr:uid="{00000000-0005-0000-0000-0000DD010000}"/>
    <cellStyle name="Hyperlink 4" xfId="478" xr:uid="{00000000-0005-0000-0000-0000DE010000}"/>
    <cellStyle name="Hyperlink 5" xfId="479" xr:uid="{00000000-0005-0000-0000-0000DF010000}"/>
    <cellStyle name="Imported" xfId="480" xr:uid="{00000000-0005-0000-0000-0000E0010000}"/>
    <cellStyle name="input" xfId="481" xr:uid="{00000000-0005-0000-0000-0000E1010000}"/>
    <cellStyle name="Input [yellow]" xfId="482" xr:uid="{00000000-0005-0000-0000-0000E2010000}"/>
    <cellStyle name="Input 2" xfId="483" xr:uid="{00000000-0005-0000-0000-0000E3010000}"/>
    <cellStyle name="input 2 2" xfId="484" xr:uid="{00000000-0005-0000-0000-0000E4010000}"/>
    <cellStyle name="Input 2 2 2" xfId="485" xr:uid="{00000000-0005-0000-0000-0000E5010000}"/>
    <cellStyle name="Input 2 2 2 2" xfId="486" xr:uid="{00000000-0005-0000-0000-0000E6010000}"/>
    <cellStyle name="Input 2 2 2 3" xfId="487" xr:uid="{00000000-0005-0000-0000-0000E7010000}"/>
    <cellStyle name="Input 2 2 3" xfId="488" xr:uid="{00000000-0005-0000-0000-0000E8010000}"/>
    <cellStyle name="Input 2 2 4" xfId="489" xr:uid="{00000000-0005-0000-0000-0000E9010000}"/>
    <cellStyle name="Input 2 3" xfId="490" xr:uid="{00000000-0005-0000-0000-0000EA010000}"/>
    <cellStyle name="Input 2 3 2" xfId="491" xr:uid="{00000000-0005-0000-0000-0000EB010000}"/>
    <cellStyle name="Input 2 3 3" xfId="492" xr:uid="{00000000-0005-0000-0000-0000EC010000}"/>
    <cellStyle name="Input 2 4" xfId="493" xr:uid="{00000000-0005-0000-0000-0000ED010000}"/>
    <cellStyle name="Input 2 4 2" xfId="494" xr:uid="{00000000-0005-0000-0000-0000EE010000}"/>
    <cellStyle name="Input 2 4 3" xfId="495" xr:uid="{00000000-0005-0000-0000-0000EF010000}"/>
    <cellStyle name="Input 2 5" xfId="496" xr:uid="{00000000-0005-0000-0000-0000F0010000}"/>
    <cellStyle name="Input 3" xfId="497" xr:uid="{00000000-0005-0000-0000-0000F1010000}"/>
    <cellStyle name="Input 3 2" xfId="498" xr:uid="{00000000-0005-0000-0000-0000F2010000}"/>
    <cellStyle name="Input 3 2 2" xfId="499" xr:uid="{00000000-0005-0000-0000-0000F3010000}"/>
    <cellStyle name="Input 3 2 2 2" xfId="500" xr:uid="{00000000-0005-0000-0000-0000F4010000}"/>
    <cellStyle name="Input 3 2 2 3" xfId="501" xr:uid="{00000000-0005-0000-0000-0000F5010000}"/>
    <cellStyle name="Input 3 2 3" xfId="502" xr:uid="{00000000-0005-0000-0000-0000F6010000}"/>
    <cellStyle name="Input 3 2 4" xfId="503" xr:uid="{00000000-0005-0000-0000-0000F7010000}"/>
    <cellStyle name="Input 3 3" xfId="504" xr:uid="{00000000-0005-0000-0000-0000F8010000}"/>
    <cellStyle name="Input 3 3 2" xfId="505" xr:uid="{00000000-0005-0000-0000-0000F9010000}"/>
    <cellStyle name="Input 3 3 3" xfId="506" xr:uid="{00000000-0005-0000-0000-0000FA010000}"/>
    <cellStyle name="Input 3 4" xfId="507" xr:uid="{00000000-0005-0000-0000-0000FB010000}"/>
    <cellStyle name="Input 3 4 2" xfId="508" xr:uid="{00000000-0005-0000-0000-0000FC010000}"/>
    <cellStyle name="Input 3 4 3" xfId="509" xr:uid="{00000000-0005-0000-0000-0000FD010000}"/>
    <cellStyle name="Input 3 5" xfId="510" xr:uid="{00000000-0005-0000-0000-0000FE010000}"/>
    <cellStyle name="Input 4" xfId="511" xr:uid="{00000000-0005-0000-0000-0000FF010000}"/>
    <cellStyle name="Input 4 2" xfId="512" xr:uid="{00000000-0005-0000-0000-000000020000}"/>
    <cellStyle name="Input 4 2 2" xfId="513" xr:uid="{00000000-0005-0000-0000-000001020000}"/>
    <cellStyle name="Input 4 2 2 2" xfId="514" xr:uid="{00000000-0005-0000-0000-000002020000}"/>
    <cellStyle name="Input 4 2 2 3" xfId="515" xr:uid="{00000000-0005-0000-0000-000003020000}"/>
    <cellStyle name="Input 4 2 3" xfId="516" xr:uid="{00000000-0005-0000-0000-000004020000}"/>
    <cellStyle name="Input 4 2 4" xfId="517" xr:uid="{00000000-0005-0000-0000-000005020000}"/>
    <cellStyle name="Input 4 3" xfId="518" xr:uid="{00000000-0005-0000-0000-000006020000}"/>
    <cellStyle name="Input 4 3 2" xfId="519" xr:uid="{00000000-0005-0000-0000-000007020000}"/>
    <cellStyle name="Input 4 3 3" xfId="520" xr:uid="{00000000-0005-0000-0000-000008020000}"/>
    <cellStyle name="Input 4 4" xfId="521" xr:uid="{00000000-0005-0000-0000-000009020000}"/>
    <cellStyle name="Input 4 4 2" xfId="522" xr:uid="{00000000-0005-0000-0000-00000A020000}"/>
    <cellStyle name="Input 4 4 3" xfId="523" xr:uid="{00000000-0005-0000-0000-00000B020000}"/>
    <cellStyle name="Input 4 5" xfId="524" xr:uid="{00000000-0005-0000-0000-00000C020000}"/>
    <cellStyle name="Input 5" xfId="525" xr:uid="{00000000-0005-0000-0000-00000D020000}"/>
    <cellStyle name="Input 5 2" xfId="526" xr:uid="{00000000-0005-0000-0000-00000E020000}"/>
    <cellStyle name="Input 5 2 2" xfId="527" xr:uid="{00000000-0005-0000-0000-00000F020000}"/>
    <cellStyle name="Input 5 2 3" xfId="528" xr:uid="{00000000-0005-0000-0000-000010020000}"/>
    <cellStyle name="Input 5 3" xfId="529" xr:uid="{00000000-0005-0000-0000-000011020000}"/>
    <cellStyle name="Input 5 4" xfId="530" xr:uid="{00000000-0005-0000-0000-000012020000}"/>
    <cellStyle name="Input 6" xfId="531" xr:uid="{00000000-0005-0000-0000-000013020000}"/>
    <cellStyle name="Input 6 2" xfId="532" xr:uid="{00000000-0005-0000-0000-000014020000}"/>
    <cellStyle name="Input 6 2 2" xfId="533" xr:uid="{00000000-0005-0000-0000-000015020000}"/>
    <cellStyle name="Input 6 2 3" xfId="534" xr:uid="{00000000-0005-0000-0000-000016020000}"/>
    <cellStyle name="Input 6 3" xfId="535" xr:uid="{00000000-0005-0000-0000-000017020000}"/>
    <cellStyle name="Input 6 4" xfId="536" xr:uid="{00000000-0005-0000-0000-000018020000}"/>
    <cellStyle name="Input 7" xfId="537" xr:uid="{00000000-0005-0000-0000-000019020000}"/>
    <cellStyle name="Input 7 2" xfId="538" xr:uid="{00000000-0005-0000-0000-00001A020000}"/>
    <cellStyle name="Input 7 3" xfId="539" xr:uid="{00000000-0005-0000-0000-00001B020000}"/>
    <cellStyle name="Input 8" xfId="540" xr:uid="{00000000-0005-0000-0000-00001C020000}"/>
    <cellStyle name="Insatisfaisant" xfId="541" xr:uid="{00000000-0005-0000-0000-00001D020000}"/>
    <cellStyle name="LEAName" xfId="542" xr:uid="{00000000-0005-0000-0000-00001E020000}"/>
    <cellStyle name="LEAName 2" xfId="543" xr:uid="{00000000-0005-0000-0000-00001F020000}"/>
    <cellStyle name="LEAName 3" xfId="544" xr:uid="{00000000-0005-0000-0000-000020020000}"/>
    <cellStyle name="LEANumber" xfId="545" xr:uid="{00000000-0005-0000-0000-000021020000}"/>
    <cellStyle name="LEANumber 2" xfId="546" xr:uid="{00000000-0005-0000-0000-000022020000}"/>
    <cellStyle name="LEANumber 3" xfId="547" xr:uid="{00000000-0005-0000-0000-000023020000}"/>
    <cellStyle name="Link Currency (0)" xfId="548" xr:uid="{00000000-0005-0000-0000-000024020000}"/>
    <cellStyle name="Link Currency (2)" xfId="549" xr:uid="{00000000-0005-0000-0000-000025020000}"/>
    <cellStyle name="Link Units (0)" xfId="550" xr:uid="{00000000-0005-0000-0000-000026020000}"/>
    <cellStyle name="Link Units (1)" xfId="551" xr:uid="{00000000-0005-0000-0000-000027020000}"/>
    <cellStyle name="Link Units (2)" xfId="552" xr:uid="{00000000-0005-0000-0000-000028020000}"/>
    <cellStyle name="Linked Cell" xfId="553" builtinId="24" customBuiltin="1"/>
    <cellStyle name="Linked Cell 2" xfId="554" xr:uid="{00000000-0005-0000-0000-00002A020000}"/>
    <cellStyle name="Linked Cell 2 2" xfId="555" xr:uid="{00000000-0005-0000-0000-00002B020000}"/>
    <cellStyle name="Linked Cell 3" xfId="556" xr:uid="{00000000-0005-0000-0000-00002C020000}"/>
    <cellStyle name="Linked Cell 4" xfId="557" xr:uid="{00000000-0005-0000-0000-00002D020000}"/>
    <cellStyle name="Linked Cell 5" xfId="558" xr:uid="{00000000-0005-0000-0000-00002E020000}"/>
    <cellStyle name="log projection" xfId="559" xr:uid="{00000000-0005-0000-0000-00002F020000}"/>
    <cellStyle name="log projection 2" xfId="560" xr:uid="{00000000-0005-0000-0000-000030020000}"/>
    <cellStyle name="log projection 2 2" xfId="561" xr:uid="{00000000-0005-0000-0000-000031020000}"/>
    <cellStyle name="log projection 2 3" xfId="562" xr:uid="{00000000-0005-0000-0000-000032020000}"/>
    <cellStyle name="log projection 2 4" xfId="563" xr:uid="{00000000-0005-0000-0000-000033020000}"/>
    <cellStyle name="log projection 3" xfId="564" xr:uid="{00000000-0005-0000-0000-000034020000}"/>
    <cellStyle name="log projection 3 2" xfId="565" xr:uid="{00000000-0005-0000-0000-000035020000}"/>
    <cellStyle name="log projection 3 3" xfId="566" xr:uid="{00000000-0005-0000-0000-000036020000}"/>
    <cellStyle name="log projection 4" xfId="567" xr:uid="{00000000-0005-0000-0000-000037020000}"/>
    <cellStyle name="log projection 4 2" xfId="568" xr:uid="{00000000-0005-0000-0000-000038020000}"/>
    <cellStyle name="log projection 4 3" xfId="569" xr:uid="{00000000-0005-0000-0000-000039020000}"/>
    <cellStyle name="log projection 5" xfId="570" xr:uid="{00000000-0005-0000-0000-00003A020000}"/>
    <cellStyle name="Milliers [0]_march98" xfId="571" xr:uid="{00000000-0005-0000-0000-00003B020000}"/>
    <cellStyle name="Milliers_march98" xfId="572" xr:uid="{00000000-0005-0000-0000-00003C020000}"/>
    <cellStyle name="Monétaire [0]_march98" xfId="573" xr:uid="{00000000-0005-0000-0000-00003D020000}"/>
    <cellStyle name="Monétaire_march98" xfId="574" xr:uid="{00000000-0005-0000-0000-00003E020000}"/>
    <cellStyle name="Neutral" xfId="575" builtinId="28" customBuiltin="1"/>
    <cellStyle name="Neutral 2" xfId="576" xr:uid="{00000000-0005-0000-0000-000040020000}"/>
    <cellStyle name="Neutral 2 2" xfId="577" xr:uid="{00000000-0005-0000-0000-000041020000}"/>
    <cellStyle name="Neutral 3" xfId="578" xr:uid="{00000000-0005-0000-0000-000042020000}"/>
    <cellStyle name="Neutral 4" xfId="579" xr:uid="{00000000-0005-0000-0000-000043020000}"/>
    <cellStyle name="Neutral 5" xfId="580" xr:uid="{00000000-0005-0000-0000-000044020000}"/>
    <cellStyle name="Neutre" xfId="581" xr:uid="{00000000-0005-0000-0000-000045020000}"/>
    <cellStyle name="new" xfId="582" xr:uid="{00000000-0005-0000-0000-000046020000}"/>
    <cellStyle name="Normal" xfId="0" builtinId="0"/>
    <cellStyle name="Normal - Style1" xfId="583" xr:uid="{00000000-0005-0000-0000-000048020000}"/>
    <cellStyle name="Normal - Style2" xfId="584" xr:uid="{00000000-0005-0000-0000-000049020000}"/>
    <cellStyle name="Normal - Style3" xfId="585" xr:uid="{00000000-0005-0000-0000-00004A020000}"/>
    <cellStyle name="Normal - Style4" xfId="586" xr:uid="{00000000-0005-0000-0000-00004B020000}"/>
    <cellStyle name="Normal - Style5" xfId="587" xr:uid="{00000000-0005-0000-0000-00004C020000}"/>
    <cellStyle name="Normal 10" xfId="588" xr:uid="{00000000-0005-0000-0000-00004D020000}"/>
    <cellStyle name="Normal 10 2" xfId="589" xr:uid="{00000000-0005-0000-0000-00004E020000}"/>
    <cellStyle name="Normal 10 2 2" xfId="590" xr:uid="{00000000-0005-0000-0000-00004F020000}"/>
    <cellStyle name="Normal 10 2 2 2" xfId="591" xr:uid="{00000000-0005-0000-0000-000050020000}"/>
    <cellStyle name="Normal 10 3" xfId="592" xr:uid="{00000000-0005-0000-0000-000051020000}"/>
    <cellStyle name="Normal 10 3 2" xfId="593" xr:uid="{00000000-0005-0000-0000-000052020000}"/>
    <cellStyle name="Normal 10 4" xfId="594" xr:uid="{00000000-0005-0000-0000-000053020000}"/>
    <cellStyle name="Normal 10 4 2" xfId="595" xr:uid="{00000000-0005-0000-0000-000054020000}"/>
    <cellStyle name="Normal 10 4 2 2" xfId="596" xr:uid="{00000000-0005-0000-0000-000055020000}"/>
    <cellStyle name="Normal 10 4 3" xfId="597" xr:uid="{00000000-0005-0000-0000-000056020000}"/>
    <cellStyle name="Normal 11" xfId="598" xr:uid="{00000000-0005-0000-0000-000057020000}"/>
    <cellStyle name="Normal 11 2" xfId="599" xr:uid="{00000000-0005-0000-0000-000058020000}"/>
    <cellStyle name="Normal 11 3" xfId="600" xr:uid="{00000000-0005-0000-0000-000059020000}"/>
    <cellStyle name="Normal 11 3 2" xfId="601" xr:uid="{00000000-0005-0000-0000-00005A020000}"/>
    <cellStyle name="Normal 11 3 2 2" xfId="602" xr:uid="{00000000-0005-0000-0000-00005B020000}"/>
    <cellStyle name="Normal 11 3 3" xfId="603" xr:uid="{00000000-0005-0000-0000-00005C020000}"/>
    <cellStyle name="Normal 11 3 3 2" xfId="604" xr:uid="{00000000-0005-0000-0000-00005D020000}"/>
    <cellStyle name="Normal 11 3 4" xfId="605" xr:uid="{00000000-0005-0000-0000-00005E020000}"/>
    <cellStyle name="Normal 11 4" xfId="606" xr:uid="{00000000-0005-0000-0000-00005F020000}"/>
    <cellStyle name="Normal 12" xfId="607" xr:uid="{00000000-0005-0000-0000-000060020000}"/>
    <cellStyle name="Normal 12 2" xfId="608" xr:uid="{00000000-0005-0000-0000-000061020000}"/>
    <cellStyle name="Normal 12 3" xfId="609" xr:uid="{00000000-0005-0000-0000-000062020000}"/>
    <cellStyle name="Normal 12 3 2" xfId="610" xr:uid="{00000000-0005-0000-0000-000063020000}"/>
    <cellStyle name="Normal 13" xfId="611" xr:uid="{00000000-0005-0000-0000-000064020000}"/>
    <cellStyle name="Normal 13 2" xfId="612" xr:uid="{00000000-0005-0000-0000-000065020000}"/>
    <cellStyle name="Normal 13 3" xfId="613" xr:uid="{00000000-0005-0000-0000-000066020000}"/>
    <cellStyle name="Normal 14" xfId="614" xr:uid="{00000000-0005-0000-0000-000067020000}"/>
    <cellStyle name="Normal 14 2" xfId="615" xr:uid="{00000000-0005-0000-0000-000068020000}"/>
    <cellStyle name="Normal 15" xfId="616" xr:uid="{00000000-0005-0000-0000-000069020000}"/>
    <cellStyle name="Normal 16" xfId="617" xr:uid="{00000000-0005-0000-0000-00006A020000}"/>
    <cellStyle name="Normal 16 2" xfId="618" xr:uid="{00000000-0005-0000-0000-00006B020000}"/>
    <cellStyle name="Normal 17" xfId="619" xr:uid="{00000000-0005-0000-0000-00006C020000}"/>
    <cellStyle name="Normal 17 2" xfId="620" xr:uid="{00000000-0005-0000-0000-00006D020000}"/>
    <cellStyle name="Normal 18" xfId="621" xr:uid="{00000000-0005-0000-0000-00006E020000}"/>
    <cellStyle name="Normal 18 2" xfId="622" xr:uid="{00000000-0005-0000-0000-00006F020000}"/>
    <cellStyle name="Normal 18 3" xfId="623" xr:uid="{00000000-0005-0000-0000-000070020000}"/>
    <cellStyle name="Normal 19" xfId="624" xr:uid="{00000000-0005-0000-0000-000071020000}"/>
    <cellStyle name="Normal 19 2" xfId="625" xr:uid="{00000000-0005-0000-0000-000072020000}"/>
    <cellStyle name="Normal 2" xfId="626" xr:uid="{00000000-0005-0000-0000-000073020000}"/>
    <cellStyle name="Normal 2 10" xfId="627" xr:uid="{00000000-0005-0000-0000-000074020000}"/>
    <cellStyle name="Normal 2 11" xfId="628" xr:uid="{00000000-0005-0000-0000-000075020000}"/>
    <cellStyle name="Normal 2 12" xfId="629" xr:uid="{00000000-0005-0000-0000-000076020000}"/>
    <cellStyle name="Normal 2 13" xfId="630" xr:uid="{00000000-0005-0000-0000-000077020000}"/>
    <cellStyle name="Normal 2 14" xfId="631" xr:uid="{00000000-0005-0000-0000-000078020000}"/>
    <cellStyle name="Normal 2 14 2" xfId="632" xr:uid="{00000000-0005-0000-0000-000079020000}"/>
    <cellStyle name="Normal 2 15" xfId="633" xr:uid="{00000000-0005-0000-0000-00007A020000}"/>
    <cellStyle name="Normal 2 16" xfId="634" xr:uid="{00000000-0005-0000-0000-00007B020000}"/>
    <cellStyle name="Normal 2 17" xfId="635" xr:uid="{00000000-0005-0000-0000-00007C020000}"/>
    <cellStyle name="Normal 2 18" xfId="1070" xr:uid="{029F92D0-8F34-447E-A2ED-C3AA7CFCE4C0}"/>
    <cellStyle name="Normal 2 2" xfId="636" xr:uid="{00000000-0005-0000-0000-00007D020000}"/>
    <cellStyle name="Normal 2 2 10" xfId="637" xr:uid="{00000000-0005-0000-0000-00007E020000}"/>
    <cellStyle name="Normal 2 2 10 2" xfId="638" xr:uid="{00000000-0005-0000-0000-00007F020000}"/>
    <cellStyle name="Normal 2 2 10 2 2" xfId="639" xr:uid="{00000000-0005-0000-0000-000080020000}"/>
    <cellStyle name="Normal 2 2 10 3" xfId="640" xr:uid="{00000000-0005-0000-0000-000081020000}"/>
    <cellStyle name="Normal 2 2 11" xfId="641" xr:uid="{00000000-0005-0000-0000-000082020000}"/>
    <cellStyle name="Normal 2 2 11 2" xfId="642" xr:uid="{00000000-0005-0000-0000-000083020000}"/>
    <cellStyle name="Normal 2 2 11 2 2" xfId="643" xr:uid="{00000000-0005-0000-0000-000084020000}"/>
    <cellStyle name="Normal 2 2 11 3" xfId="644" xr:uid="{00000000-0005-0000-0000-000085020000}"/>
    <cellStyle name="Normal 2 2 12" xfId="645" xr:uid="{00000000-0005-0000-0000-000086020000}"/>
    <cellStyle name="Normal 2 2 12 2" xfId="646" xr:uid="{00000000-0005-0000-0000-000087020000}"/>
    <cellStyle name="Normal 2 2 13" xfId="647" xr:uid="{00000000-0005-0000-0000-000088020000}"/>
    <cellStyle name="Normal 2 2 2" xfId="648" xr:uid="{00000000-0005-0000-0000-000089020000}"/>
    <cellStyle name="Normal 2 2 2 2" xfId="649" xr:uid="{00000000-0005-0000-0000-00008A020000}"/>
    <cellStyle name="Normal 2 2 2 2 2" xfId="650" xr:uid="{00000000-0005-0000-0000-00008B020000}"/>
    <cellStyle name="Normal 2 2 2 3" xfId="651" xr:uid="{00000000-0005-0000-0000-00008C020000}"/>
    <cellStyle name="Normal 2 2 2 3 2" xfId="652" xr:uid="{00000000-0005-0000-0000-00008D020000}"/>
    <cellStyle name="Normal 2 2 2 4" xfId="653" xr:uid="{00000000-0005-0000-0000-00008E020000}"/>
    <cellStyle name="Normal 2 2 2 4 2" xfId="654" xr:uid="{00000000-0005-0000-0000-00008F020000}"/>
    <cellStyle name="Normal 2 2 2 5" xfId="655" xr:uid="{00000000-0005-0000-0000-000090020000}"/>
    <cellStyle name="Normal 2 2 2 5 2" xfId="656" xr:uid="{00000000-0005-0000-0000-000091020000}"/>
    <cellStyle name="Normal 2 2 2 6" xfId="657" xr:uid="{00000000-0005-0000-0000-000092020000}"/>
    <cellStyle name="Normal 2 2 2 6 2" xfId="658" xr:uid="{00000000-0005-0000-0000-000093020000}"/>
    <cellStyle name="Normal 2 2 2 7" xfId="659" xr:uid="{00000000-0005-0000-0000-000094020000}"/>
    <cellStyle name="Normal 2 2 2 7 2" xfId="660" xr:uid="{00000000-0005-0000-0000-000095020000}"/>
    <cellStyle name="Normal 2 2 2 8" xfId="661" xr:uid="{00000000-0005-0000-0000-000096020000}"/>
    <cellStyle name="Normal 2 2 2 8 2" xfId="662" xr:uid="{00000000-0005-0000-0000-000097020000}"/>
    <cellStyle name="Normal 2 2 2 9" xfId="663" xr:uid="{00000000-0005-0000-0000-000098020000}"/>
    <cellStyle name="Normal 2 2 3" xfId="664" xr:uid="{00000000-0005-0000-0000-000099020000}"/>
    <cellStyle name="Normal 2 2 3 2" xfId="665" xr:uid="{00000000-0005-0000-0000-00009A020000}"/>
    <cellStyle name="Normal 2 2 4" xfId="666" xr:uid="{00000000-0005-0000-0000-00009B020000}"/>
    <cellStyle name="Normal 2 2 4 2" xfId="667" xr:uid="{00000000-0005-0000-0000-00009C020000}"/>
    <cellStyle name="Normal 2 2 5" xfId="668" xr:uid="{00000000-0005-0000-0000-00009D020000}"/>
    <cellStyle name="Normal 2 2 5 2" xfId="669" xr:uid="{00000000-0005-0000-0000-00009E020000}"/>
    <cellStyle name="Normal 2 2 6" xfId="670" xr:uid="{00000000-0005-0000-0000-00009F020000}"/>
    <cellStyle name="Normal 2 2 6 2" xfId="671" xr:uid="{00000000-0005-0000-0000-0000A0020000}"/>
    <cellStyle name="Normal 2 2 7" xfId="672" xr:uid="{00000000-0005-0000-0000-0000A1020000}"/>
    <cellStyle name="Normal 2 2 7 2" xfId="673" xr:uid="{00000000-0005-0000-0000-0000A2020000}"/>
    <cellStyle name="Normal 2 2 7 2 2" xfId="674" xr:uid="{00000000-0005-0000-0000-0000A3020000}"/>
    <cellStyle name="Normal 2 2 7 3" xfId="675" xr:uid="{00000000-0005-0000-0000-0000A4020000}"/>
    <cellStyle name="Normal 2 2 8" xfId="676" xr:uid="{00000000-0005-0000-0000-0000A5020000}"/>
    <cellStyle name="Normal 2 2 8 2" xfId="677" xr:uid="{00000000-0005-0000-0000-0000A6020000}"/>
    <cellStyle name="Normal 2 2 8 2 2" xfId="678" xr:uid="{00000000-0005-0000-0000-0000A7020000}"/>
    <cellStyle name="Normal 2 2 8 3" xfId="679" xr:uid="{00000000-0005-0000-0000-0000A8020000}"/>
    <cellStyle name="Normal 2 2 9" xfId="680" xr:uid="{00000000-0005-0000-0000-0000A9020000}"/>
    <cellStyle name="Normal 2 2 9 2" xfId="681" xr:uid="{00000000-0005-0000-0000-0000AA020000}"/>
    <cellStyle name="Normal 2 2 9 2 2" xfId="682" xr:uid="{00000000-0005-0000-0000-0000AB020000}"/>
    <cellStyle name="Normal 2 2 9 3" xfId="683" xr:uid="{00000000-0005-0000-0000-0000AC020000}"/>
    <cellStyle name="Normal 2 3" xfId="684" xr:uid="{00000000-0005-0000-0000-0000AD020000}"/>
    <cellStyle name="Normal 2 4" xfId="685" xr:uid="{00000000-0005-0000-0000-0000AE020000}"/>
    <cellStyle name="Normal 2 4 2" xfId="686" xr:uid="{00000000-0005-0000-0000-0000AF020000}"/>
    <cellStyle name="Normal 2 5" xfId="687" xr:uid="{00000000-0005-0000-0000-0000B0020000}"/>
    <cellStyle name="Normal 2 5 2" xfId="688" xr:uid="{00000000-0005-0000-0000-0000B1020000}"/>
    <cellStyle name="Normal 2 5 2 2" xfId="689" xr:uid="{00000000-0005-0000-0000-0000B2020000}"/>
    <cellStyle name="Normal 2 5 3" xfId="690" xr:uid="{00000000-0005-0000-0000-0000B3020000}"/>
    <cellStyle name="Normal 2 6" xfId="691" xr:uid="{00000000-0005-0000-0000-0000B4020000}"/>
    <cellStyle name="Normal 2 6 2" xfId="692" xr:uid="{00000000-0005-0000-0000-0000B5020000}"/>
    <cellStyle name="Normal 2 6 2 2" xfId="693" xr:uid="{00000000-0005-0000-0000-0000B6020000}"/>
    <cellStyle name="Normal 2 6 3" xfId="694" xr:uid="{00000000-0005-0000-0000-0000B7020000}"/>
    <cellStyle name="Normal 2 7" xfId="695" xr:uid="{00000000-0005-0000-0000-0000B8020000}"/>
    <cellStyle name="Normal 2 7 2" xfId="696" xr:uid="{00000000-0005-0000-0000-0000B9020000}"/>
    <cellStyle name="Normal 2 7 2 2" xfId="697" xr:uid="{00000000-0005-0000-0000-0000BA020000}"/>
    <cellStyle name="Normal 2 7 3" xfId="698" xr:uid="{00000000-0005-0000-0000-0000BB020000}"/>
    <cellStyle name="Normal 2 8" xfId="699" xr:uid="{00000000-0005-0000-0000-0000BC020000}"/>
    <cellStyle name="Normal 2 8 2" xfId="700" xr:uid="{00000000-0005-0000-0000-0000BD020000}"/>
    <cellStyle name="Normal 2 8 2 2" xfId="701" xr:uid="{00000000-0005-0000-0000-0000BE020000}"/>
    <cellStyle name="Normal 2 8 3" xfId="702" xr:uid="{00000000-0005-0000-0000-0000BF020000}"/>
    <cellStyle name="Normal 2 9" xfId="703" xr:uid="{00000000-0005-0000-0000-0000C0020000}"/>
    <cellStyle name="Normal 2_Acads List" xfId="704" xr:uid="{00000000-0005-0000-0000-0000C1020000}"/>
    <cellStyle name="Normal 20" xfId="705" xr:uid="{00000000-0005-0000-0000-0000C2020000}"/>
    <cellStyle name="Normal 20 2" xfId="706" xr:uid="{00000000-0005-0000-0000-0000C3020000}"/>
    <cellStyle name="Normal 21" xfId="707" xr:uid="{00000000-0005-0000-0000-0000C4020000}"/>
    <cellStyle name="Normal 22" xfId="708" xr:uid="{00000000-0005-0000-0000-0000C5020000}"/>
    <cellStyle name="Normal 22 2" xfId="709" xr:uid="{00000000-0005-0000-0000-0000C6020000}"/>
    <cellStyle name="Normal 23" xfId="710" xr:uid="{00000000-0005-0000-0000-0000C7020000}"/>
    <cellStyle name="Normal 23 2" xfId="711" xr:uid="{00000000-0005-0000-0000-0000C8020000}"/>
    <cellStyle name="Normal 24" xfId="712" xr:uid="{00000000-0005-0000-0000-0000C9020000}"/>
    <cellStyle name="Normal 24 2" xfId="713" xr:uid="{00000000-0005-0000-0000-0000CA020000}"/>
    <cellStyle name="Normal 24 3" xfId="714" xr:uid="{00000000-0005-0000-0000-0000CB020000}"/>
    <cellStyle name="Normal 25" xfId="715" xr:uid="{00000000-0005-0000-0000-0000CC020000}"/>
    <cellStyle name="Normal 25 2" xfId="716" xr:uid="{00000000-0005-0000-0000-0000CD020000}"/>
    <cellStyle name="Normal 26" xfId="717" xr:uid="{00000000-0005-0000-0000-0000CE020000}"/>
    <cellStyle name="Normal 26 2" xfId="718" xr:uid="{00000000-0005-0000-0000-0000CF020000}"/>
    <cellStyle name="Normal 27" xfId="719" xr:uid="{00000000-0005-0000-0000-0000D0020000}"/>
    <cellStyle name="Normal 27 2" xfId="720" xr:uid="{00000000-0005-0000-0000-0000D1020000}"/>
    <cellStyle name="Normal 28" xfId="721" xr:uid="{00000000-0005-0000-0000-0000D2020000}"/>
    <cellStyle name="Normal 29" xfId="722" xr:uid="{00000000-0005-0000-0000-0000D3020000}"/>
    <cellStyle name="Normal 3" xfId="723" xr:uid="{00000000-0005-0000-0000-0000D4020000}"/>
    <cellStyle name="Normal 3 10" xfId="724" xr:uid="{00000000-0005-0000-0000-0000D5020000}"/>
    <cellStyle name="Normal 3 11" xfId="725" xr:uid="{00000000-0005-0000-0000-0000D6020000}"/>
    <cellStyle name="Normal 3 12" xfId="726" xr:uid="{00000000-0005-0000-0000-0000D7020000}"/>
    <cellStyle name="Normal 3 13" xfId="727" xr:uid="{00000000-0005-0000-0000-0000D8020000}"/>
    <cellStyle name="Normal 3 14" xfId="728" xr:uid="{00000000-0005-0000-0000-0000D9020000}"/>
    <cellStyle name="Normal 3 15" xfId="729" xr:uid="{00000000-0005-0000-0000-0000DA020000}"/>
    <cellStyle name="Normal 3 2" xfId="730" xr:uid="{00000000-0005-0000-0000-0000DB020000}"/>
    <cellStyle name="Normal 3 2 2" xfId="731" xr:uid="{00000000-0005-0000-0000-0000DC020000}"/>
    <cellStyle name="Normal 3 2 3" xfId="732" xr:uid="{00000000-0005-0000-0000-0000DD020000}"/>
    <cellStyle name="Normal 3 2 4" xfId="733" xr:uid="{00000000-0005-0000-0000-0000DE020000}"/>
    <cellStyle name="Normal 3 2 5" xfId="734" xr:uid="{00000000-0005-0000-0000-0000DF020000}"/>
    <cellStyle name="Normal 3 2 6" xfId="735" xr:uid="{00000000-0005-0000-0000-0000E0020000}"/>
    <cellStyle name="Normal 3 2 7" xfId="736" xr:uid="{00000000-0005-0000-0000-0000E1020000}"/>
    <cellStyle name="Normal 3 2_Main Allocation Sheet" xfId="737" xr:uid="{00000000-0005-0000-0000-0000E2020000}"/>
    <cellStyle name="Normal 3 3" xfId="738" xr:uid="{00000000-0005-0000-0000-0000E3020000}"/>
    <cellStyle name="Normal 3 3 2" xfId="739" xr:uid="{00000000-0005-0000-0000-0000E4020000}"/>
    <cellStyle name="Normal 3 3 2 2" xfId="740" xr:uid="{00000000-0005-0000-0000-0000E5020000}"/>
    <cellStyle name="Normal 3 3 3" xfId="741" xr:uid="{00000000-0005-0000-0000-0000E6020000}"/>
    <cellStyle name="Normal 3 4" xfId="742" xr:uid="{00000000-0005-0000-0000-0000E7020000}"/>
    <cellStyle name="Normal 3 4 2" xfId="743" xr:uid="{00000000-0005-0000-0000-0000E8020000}"/>
    <cellStyle name="Normal 3 4 2 2" xfId="744" xr:uid="{00000000-0005-0000-0000-0000E9020000}"/>
    <cellStyle name="Normal 3 4 3" xfId="745" xr:uid="{00000000-0005-0000-0000-0000EA020000}"/>
    <cellStyle name="Normal 3 5" xfId="746" xr:uid="{00000000-0005-0000-0000-0000EB020000}"/>
    <cellStyle name="Normal 3 5 2" xfId="747" xr:uid="{00000000-0005-0000-0000-0000EC020000}"/>
    <cellStyle name="Normal 3 5 2 2" xfId="748" xr:uid="{00000000-0005-0000-0000-0000ED020000}"/>
    <cellStyle name="Normal 3 5 3" xfId="749" xr:uid="{00000000-0005-0000-0000-0000EE020000}"/>
    <cellStyle name="Normal 3 6" xfId="750" xr:uid="{00000000-0005-0000-0000-0000EF020000}"/>
    <cellStyle name="Normal 3 6 2" xfId="751" xr:uid="{00000000-0005-0000-0000-0000F0020000}"/>
    <cellStyle name="Normal 3 6 2 2" xfId="752" xr:uid="{00000000-0005-0000-0000-0000F1020000}"/>
    <cellStyle name="Normal 3 6 3" xfId="753" xr:uid="{00000000-0005-0000-0000-0000F2020000}"/>
    <cellStyle name="Normal 3 7" xfId="754" xr:uid="{00000000-0005-0000-0000-0000F3020000}"/>
    <cellStyle name="Normal 3 8" xfId="755" xr:uid="{00000000-0005-0000-0000-0000F4020000}"/>
    <cellStyle name="Normal 3 9" xfId="756" xr:uid="{00000000-0005-0000-0000-0000F5020000}"/>
    <cellStyle name="Normal 3_Colleges and Providers" xfId="757" xr:uid="{00000000-0005-0000-0000-0000F6020000}"/>
    <cellStyle name="Normal 30" xfId="758" xr:uid="{00000000-0005-0000-0000-0000F7020000}"/>
    <cellStyle name="Normal 31" xfId="759" xr:uid="{00000000-0005-0000-0000-0000F8020000}"/>
    <cellStyle name="Normal 32" xfId="760" xr:uid="{00000000-0005-0000-0000-0000F9020000}"/>
    <cellStyle name="Normal 33" xfId="761" xr:uid="{00000000-0005-0000-0000-0000FA020000}"/>
    <cellStyle name="Normal 34" xfId="762" xr:uid="{00000000-0005-0000-0000-0000FB020000}"/>
    <cellStyle name="Normal 35" xfId="763" xr:uid="{00000000-0005-0000-0000-0000FC020000}"/>
    <cellStyle name="Normal 35 2" xfId="764" xr:uid="{00000000-0005-0000-0000-0000FD020000}"/>
    <cellStyle name="Normal 36" xfId="765" xr:uid="{00000000-0005-0000-0000-0000FE020000}"/>
    <cellStyle name="Normal 37" xfId="766" xr:uid="{00000000-0005-0000-0000-0000FF020000}"/>
    <cellStyle name="Normal 38" xfId="767" xr:uid="{00000000-0005-0000-0000-000000030000}"/>
    <cellStyle name="Normal 39" xfId="768" xr:uid="{00000000-0005-0000-0000-000001030000}"/>
    <cellStyle name="Normal 4" xfId="769" xr:uid="{00000000-0005-0000-0000-000002030000}"/>
    <cellStyle name="Normal 4 2" xfId="770" xr:uid="{00000000-0005-0000-0000-000003030000}"/>
    <cellStyle name="Normal 4 2 2" xfId="771" xr:uid="{00000000-0005-0000-0000-000004030000}"/>
    <cellStyle name="Normal 4 2 2 2" xfId="772" xr:uid="{00000000-0005-0000-0000-000005030000}"/>
    <cellStyle name="Normal 4 2 3" xfId="773" xr:uid="{00000000-0005-0000-0000-000006030000}"/>
    <cellStyle name="Normal 4 3" xfId="774" xr:uid="{00000000-0005-0000-0000-000007030000}"/>
    <cellStyle name="Normal 4 3 2" xfId="775" xr:uid="{00000000-0005-0000-0000-000008030000}"/>
    <cellStyle name="Normal 4 3 2 2" xfId="776" xr:uid="{00000000-0005-0000-0000-000009030000}"/>
    <cellStyle name="Normal 4 3 3" xfId="777" xr:uid="{00000000-0005-0000-0000-00000A030000}"/>
    <cellStyle name="Normal 4 4" xfId="778" xr:uid="{00000000-0005-0000-0000-00000B030000}"/>
    <cellStyle name="Normal 4 4 2" xfId="779" xr:uid="{00000000-0005-0000-0000-00000C030000}"/>
    <cellStyle name="Normal 4 4 2 2" xfId="780" xr:uid="{00000000-0005-0000-0000-00000D030000}"/>
    <cellStyle name="Normal 4 4 3" xfId="781" xr:uid="{00000000-0005-0000-0000-00000E030000}"/>
    <cellStyle name="Normal 4 5" xfId="782" xr:uid="{00000000-0005-0000-0000-00000F030000}"/>
    <cellStyle name="Normal 4 5 2" xfId="783" xr:uid="{00000000-0005-0000-0000-000010030000}"/>
    <cellStyle name="Normal 4 5 2 2" xfId="784" xr:uid="{00000000-0005-0000-0000-000011030000}"/>
    <cellStyle name="Normal 4 5 3" xfId="785" xr:uid="{00000000-0005-0000-0000-000012030000}"/>
    <cellStyle name="Normal 4 6" xfId="786" xr:uid="{00000000-0005-0000-0000-000013030000}"/>
    <cellStyle name="Normal 4 6 2" xfId="787" xr:uid="{00000000-0005-0000-0000-000014030000}"/>
    <cellStyle name="Normal 4 6 2 2" xfId="788" xr:uid="{00000000-0005-0000-0000-000015030000}"/>
    <cellStyle name="Normal 4 6 3" xfId="789" xr:uid="{00000000-0005-0000-0000-000016030000}"/>
    <cellStyle name="Normal 4 7" xfId="790" xr:uid="{00000000-0005-0000-0000-000017030000}"/>
    <cellStyle name="Normal 4 8" xfId="791" xr:uid="{00000000-0005-0000-0000-000018030000}"/>
    <cellStyle name="Normal 4 9" xfId="792" xr:uid="{00000000-0005-0000-0000-000019030000}"/>
    <cellStyle name="Normal 4_Regional Readiness Sheet" xfId="793" xr:uid="{00000000-0005-0000-0000-00001A030000}"/>
    <cellStyle name="Normal 40" xfId="794" xr:uid="{00000000-0005-0000-0000-00001B030000}"/>
    <cellStyle name="Normal 41" xfId="795" xr:uid="{00000000-0005-0000-0000-00001C030000}"/>
    <cellStyle name="Normal 42" xfId="796" xr:uid="{00000000-0005-0000-0000-00001D030000}"/>
    <cellStyle name="Normal 43" xfId="797" xr:uid="{00000000-0005-0000-0000-00001E030000}"/>
    <cellStyle name="Normal 44" xfId="798" xr:uid="{00000000-0005-0000-0000-00001F030000}"/>
    <cellStyle name="Normal 45" xfId="799" xr:uid="{00000000-0005-0000-0000-000020030000}"/>
    <cellStyle name="Normal 46" xfId="800" xr:uid="{00000000-0005-0000-0000-000021030000}"/>
    <cellStyle name="Normal 47" xfId="1067" xr:uid="{D8BD2F31-E57B-46E2-8E8A-7BF075488BA6}"/>
    <cellStyle name="Normal 48" xfId="1068" xr:uid="{4B2D124F-33D8-4056-9ABF-AFD6EB11B087}"/>
    <cellStyle name="Normal 49" xfId="1069" xr:uid="{B2DDF93D-A2A8-45F8-9CE2-66ABFEEE48F2}"/>
    <cellStyle name="Normal 5" xfId="801" xr:uid="{00000000-0005-0000-0000-000022030000}"/>
    <cellStyle name="Normal 5 2" xfId="802" xr:uid="{00000000-0005-0000-0000-000023030000}"/>
    <cellStyle name="Normal 5 2 2" xfId="803" xr:uid="{00000000-0005-0000-0000-000024030000}"/>
    <cellStyle name="Normal 5 3" xfId="804" xr:uid="{00000000-0005-0000-0000-000025030000}"/>
    <cellStyle name="Normal 5 3 2" xfId="805" xr:uid="{00000000-0005-0000-0000-000026030000}"/>
    <cellStyle name="Normal 5 4" xfId="806" xr:uid="{00000000-0005-0000-0000-000027030000}"/>
    <cellStyle name="Normal 5 5" xfId="807" xr:uid="{00000000-0005-0000-0000-000028030000}"/>
    <cellStyle name="Normal 6" xfId="808" xr:uid="{00000000-0005-0000-0000-000029030000}"/>
    <cellStyle name="Normal 6 2" xfId="809" xr:uid="{00000000-0005-0000-0000-00002A030000}"/>
    <cellStyle name="Normal 6 3" xfId="810" xr:uid="{00000000-0005-0000-0000-00002B030000}"/>
    <cellStyle name="Normal 6 3 2" xfId="811" xr:uid="{00000000-0005-0000-0000-00002C030000}"/>
    <cellStyle name="Normal 6 4" xfId="812" xr:uid="{00000000-0005-0000-0000-00002D030000}"/>
    <cellStyle name="Normal 7" xfId="813" xr:uid="{00000000-0005-0000-0000-00002E030000}"/>
    <cellStyle name="Normal 7 2" xfId="814" xr:uid="{00000000-0005-0000-0000-00002F030000}"/>
    <cellStyle name="Normal 8" xfId="815" xr:uid="{00000000-0005-0000-0000-000030030000}"/>
    <cellStyle name="Normal 8 2" xfId="816" xr:uid="{00000000-0005-0000-0000-000031030000}"/>
    <cellStyle name="Normal 9" xfId="817" xr:uid="{00000000-0005-0000-0000-000032030000}"/>
    <cellStyle name="Normal 9 2" xfId="818" xr:uid="{00000000-0005-0000-0000-000033030000}"/>
    <cellStyle name="Normal 9 2 2" xfId="819" xr:uid="{00000000-0005-0000-0000-000034030000}"/>
    <cellStyle name="Normal 9 2 2 2" xfId="820" xr:uid="{00000000-0005-0000-0000-000035030000}"/>
    <cellStyle name="Normal 9 3" xfId="821" xr:uid="{00000000-0005-0000-0000-000036030000}"/>
    <cellStyle name="Normal 9 3 2" xfId="822" xr:uid="{00000000-0005-0000-0000-000037030000}"/>
    <cellStyle name="Normal 9 4" xfId="823" xr:uid="{00000000-0005-0000-0000-000038030000}"/>
    <cellStyle name="Normal 9 4 2" xfId="824" xr:uid="{00000000-0005-0000-0000-000039030000}"/>
    <cellStyle name="Normal 9 4 2 2" xfId="825" xr:uid="{00000000-0005-0000-0000-00003A030000}"/>
    <cellStyle name="Normal 9 4 3" xfId="826" xr:uid="{00000000-0005-0000-0000-00003B030000}"/>
    <cellStyle name="Normal_Pupil Premium working 2" xfId="827" xr:uid="{00000000-0005-0000-0000-00003C030000}"/>
    <cellStyle name="NormalStyleCurrency" xfId="828" xr:uid="{00000000-0005-0000-0000-00003D030000}"/>
    <cellStyle name="NormalStyleText" xfId="829" xr:uid="{00000000-0005-0000-0000-00003E030000}"/>
    <cellStyle name="Note" xfId="830" builtinId="10" customBuiltin="1"/>
    <cellStyle name="Note 2" xfId="831" xr:uid="{00000000-0005-0000-0000-000040030000}"/>
    <cellStyle name="Note 2 2" xfId="832" xr:uid="{00000000-0005-0000-0000-000041030000}"/>
    <cellStyle name="Note 2 2 2" xfId="833" xr:uid="{00000000-0005-0000-0000-000042030000}"/>
    <cellStyle name="Note 2 2 3" xfId="834" xr:uid="{00000000-0005-0000-0000-000043030000}"/>
    <cellStyle name="Note 2 2 4" xfId="835" xr:uid="{00000000-0005-0000-0000-000044030000}"/>
    <cellStyle name="Note 2 3" xfId="836" xr:uid="{00000000-0005-0000-0000-000045030000}"/>
    <cellStyle name="Note 2 3 2" xfId="837" xr:uid="{00000000-0005-0000-0000-000046030000}"/>
    <cellStyle name="Note 2 3 3" xfId="838" xr:uid="{00000000-0005-0000-0000-000047030000}"/>
    <cellStyle name="Note 2 4" xfId="839" xr:uid="{00000000-0005-0000-0000-000048030000}"/>
    <cellStyle name="Note 2 4 2" xfId="840" xr:uid="{00000000-0005-0000-0000-000049030000}"/>
    <cellStyle name="Note 2 4 3" xfId="841" xr:uid="{00000000-0005-0000-0000-00004A030000}"/>
    <cellStyle name="Note 2 5" xfId="842" xr:uid="{00000000-0005-0000-0000-00004B030000}"/>
    <cellStyle name="Note 2 5 2" xfId="843" xr:uid="{00000000-0005-0000-0000-00004C030000}"/>
    <cellStyle name="Note 2 6" xfId="844" xr:uid="{00000000-0005-0000-0000-00004D030000}"/>
    <cellStyle name="Note 2 6 2" xfId="845" xr:uid="{00000000-0005-0000-0000-00004E030000}"/>
    <cellStyle name="Note 3" xfId="846" xr:uid="{00000000-0005-0000-0000-00004F030000}"/>
    <cellStyle name="Note 3 2" xfId="847" xr:uid="{00000000-0005-0000-0000-000050030000}"/>
    <cellStyle name="Note 3 2 2" xfId="848" xr:uid="{00000000-0005-0000-0000-000051030000}"/>
    <cellStyle name="Note 3 2 3" xfId="849" xr:uid="{00000000-0005-0000-0000-000052030000}"/>
    <cellStyle name="Note 3 3" xfId="850" xr:uid="{00000000-0005-0000-0000-000053030000}"/>
    <cellStyle name="Note 3 3 2" xfId="851" xr:uid="{00000000-0005-0000-0000-000054030000}"/>
    <cellStyle name="Note 3 3 3" xfId="852" xr:uid="{00000000-0005-0000-0000-000055030000}"/>
    <cellStyle name="Note 3 4" xfId="853" xr:uid="{00000000-0005-0000-0000-000056030000}"/>
    <cellStyle name="Note 3 4 2" xfId="854" xr:uid="{00000000-0005-0000-0000-000057030000}"/>
    <cellStyle name="Note 3 4 3" xfId="855" xr:uid="{00000000-0005-0000-0000-000058030000}"/>
    <cellStyle name="Note 3 5" xfId="856" xr:uid="{00000000-0005-0000-0000-000059030000}"/>
    <cellStyle name="Note 4" xfId="857" xr:uid="{00000000-0005-0000-0000-00005A030000}"/>
    <cellStyle name="Note 4 2" xfId="858" xr:uid="{00000000-0005-0000-0000-00005B030000}"/>
    <cellStyle name="Note 4 2 2" xfId="859" xr:uid="{00000000-0005-0000-0000-00005C030000}"/>
    <cellStyle name="Note 4 2 3" xfId="860" xr:uid="{00000000-0005-0000-0000-00005D030000}"/>
    <cellStyle name="Note 4 3" xfId="861" xr:uid="{00000000-0005-0000-0000-00005E030000}"/>
    <cellStyle name="Note 4 3 2" xfId="862" xr:uid="{00000000-0005-0000-0000-00005F030000}"/>
    <cellStyle name="Note 4 3 3" xfId="863" xr:uid="{00000000-0005-0000-0000-000060030000}"/>
    <cellStyle name="Note 4 4" xfId="864" xr:uid="{00000000-0005-0000-0000-000061030000}"/>
    <cellStyle name="Note 4 4 2" xfId="865" xr:uid="{00000000-0005-0000-0000-000062030000}"/>
    <cellStyle name="Note 4 4 3" xfId="866" xr:uid="{00000000-0005-0000-0000-000063030000}"/>
    <cellStyle name="Note 4 5" xfId="867" xr:uid="{00000000-0005-0000-0000-000064030000}"/>
    <cellStyle name="Note 5" xfId="868" xr:uid="{00000000-0005-0000-0000-000065030000}"/>
    <cellStyle name="Note 5 2" xfId="869" xr:uid="{00000000-0005-0000-0000-000066030000}"/>
    <cellStyle name="Note 5 3" xfId="870" xr:uid="{00000000-0005-0000-0000-000067030000}"/>
    <cellStyle name="Note 6" xfId="871" xr:uid="{00000000-0005-0000-0000-000068030000}"/>
    <cellStyle name="Note 6 2" xfId="872" xr:uid="{00000000-0005-0000-0000-000069030000}"/>
    <cellStyle name="Note 6 3" xfId="873" xr:uid="{00000000-0005-0000-0000-00006A030000}"/>
    <cellStyle name="Note 7" xfId="874" xr:uid="{00000000-0005-0000-0000-00006B030000}"/>
    <cellStyle name="Note 7 2" xfId="875" xr:uid="{00000000-0005-0000-0000-00006C030000}"/>
    <cellStyle name="Note 7 3" xfId="876" xr:uid="{00000000-0005-0000-0000-00006D030000}"/>
    <cellStyle name="Note 8" xfId="877" xr:uid="{00000000-0005-0000-0000-00006E030000}"/>
    <cellStyle name="Note 8 2" xfId="878" xr:uid="{00000000-0005-0000-0000-00006F030000}"/>
    <cellStyle name="Number" xfId="879" xr:uid="{00000000-0005-0000-0000-000070030000}"/>
    <cellStyle name="Number 2" xfId="880" xr:uid="{00000000-0005-0000-0000-000071030000}"/>
    <cellStyle name="Number 3" xfId="881" xr:uid="{00000000-0005-0000-0000-000072030000}"/>
    <cellStyle name="Œ…‹æØ‚è [0.00]_laroux" xfId="882" xr:uid="{00000000-0005-0000-0000-000073030000}"/>
    <cellStyle name="Œ…‹æØ‚è_laroux" xfId="883" xr:uid="{00000000-0005-0000-0000-000074030000}"/>
    <cellStyle name="Output" xfId="884" builtinId="21" customBuiltin="1"/>
    <cellStyle name="Output 2" xfId="885" xr:uid="{00000000-0005-0000-0000-000076030000}"/>
    <cellStyle name="Output 2 2" xfId="886" xr:uid="{00000000-0005-0000-0000-000077030000}"/>
    <cellStyle name="Output 2 2 2" xfId="887" xr:uid="{00000000-0005-0000-0000-000078030000}"/>
    <cellStyle name="Output 2 2 3" xfId="888" xr:uid="{00000000-0005-0000-0000-000079030000}"/>
    <cellStyle name="Output 2 2 4" xfId="889" xr:uid="{00000000-0005-0000-0000-00007A030000}"/>
    <cellStyle name="Output 2 3" xfId="890" xr:uid="{00000000-0005-0000-0000-00007B030000}"/>
    <cellStyle name="Output 2 3 2" xfId="891" xr:uid="{00000000-0005-0000-0000-00007C030000}"/>
    <cellStyle name="Output 2 3 3" xfId="892" xr:uid="{00000000-0005-0000-0000-00007D030000}"/>
    <cellStyle name="Output 2 4" xfId="893" xr:uid="{00000000-0005-0000-0000-00007E030000}"/>
    <cellStyle name="Output 2 4 2" xfId="894" xr:uid="{00000000-0005-0000-0000-00007F030000}"/>
    <cellStyle name="Output 2 4 3" xfId="895" xr:uid="{00000000-0005-0000-0000-000080030000}"/>
    <cellStyle name="Output 2 5" xfId="896" xr:uid="{00000000-0005-0000-0000-000081030000}"/>
    <cellStyle name="Output 3" xfId="897" xr:uid="{00000000-0005-0000-0000-000082030000}"/>
    <cellStyle name="Output 3 2" xfId="898" xr:uid="{00000000-0005-0000-0000-000083030000}"/>
    <cellStyle name="Output 3 2 2" xfId="899" xr:uid="{00000000-0005-0000-0000-000084030000}"/>
    <cellStyle name="Output 3 2 3" xfId="900" xr:uid="{00000000-0005-0000-0000-000085030000}"/>
    <cellStyle name="Output 3 3" xfId="901" xr:uid="{00000000-0005-0000-0000-000086030000}"/>
    <cellStyle name="Output 3 3 2" xfId="902" xr:uid="{00000000-0005-0000-0000-000087030000}"/>
    <cellStyle name="Output 3 3 3" xfId="903" xr:uid="{00000000-0005-0000-0000-000088030000}"/>
    <cellStyle name="Output 3 4" xfId="904" xr:uid="{00000000-0005-0000-0000-000089030000}"/>
    <cellStyle name="Output 3 4 2" xfId="905" xr:uid="{00000000-0005-0000-0000-00008A030000}"/>
    <cellStyle name="Output 3 4 3" xfId="906" xr:uid="{00000000-0005-0000-0000-00008B030000}"/>
    <cellStyle name="Output 3 5" xfId="907" xr:uid="{00000000-0005-0000-0000-00008C030000}"/>
    <cellStyle name="Output 4" xfId="908" xr:uid="{00000000-0005-0000-0000-00008D030000}"/>
    <cellStyle name="Output 4 2" xfId="909" xr:uid="{00000000-0005-0000-0000-00008E030000}"/>
    <cellStyle name="Output 4 2 2" xfId="910" xr:uid="{00000000-0005-0000-0000-00008F030000}"/>
    <cellStyle name="Output 4 2 3" xfId="911" xr:uid="{00000000-0005-0000-0000-000090030000}"/>
    <cellStyle name="Output 4 3" xfId="912" xr:uid="{00000000-0005-0000-0000-000091030000}"/>
    <cellStyle name="Output 4 3 2" xfId="913" xr:uid="{00000000-0005-0000-0000-000092030000}"/>
    <cellStyle name="Output 4 3 3" xfId="914" xr:uid="{00000000-0005-0000-0000-000093030000}"/>
    <cellStyle name="Output 4 4" xfId="915" xr:uid="{00000000-0005-0000-0000-000094030000}"/>
    <cellStyle name="Output 4 4 2" xfId="916" xr:uid="{00000000-0005-0000-0000-000095030000}"/>
    <cellStyle name="Output 4 4 3" xfId="917" xr:uid="{00000000-0005-0000-0000-000096030000}"/>
    <cellStyle name="Output 4 5" xfId="918" xr:uid="{00000000-0005-0000-0000-000097030000}"/>
    <cellStyle name="Output 5" xfId="919" xr:uid="{00000000-0005-0000-0000-000098030000}"/>
    <cellStyle name="Output 5 2" xfId="920" xr:uid="{00000000-0005-0000-0000-000099030000}"/>
    <cellStyle name="Output 5 3" xfId="921" xr:uid="{00000000-0005-0000-0000-00009A030000}"/>
    <cellStyle name="Output 6" xfId="922" xr:uid="{00000000-0005-0000-0000-00009B030000}"/>
    <cellStyle name="Output 6 2" xfId="923" xr:uid="{00000000-0005-0000-0000-00009C030000}"/>
    <cellStyle name="Output 6 3" xfId="924" xr:uid="{00000000-0005-0000-0000-00009D030000}"/>
    <cellStyle name="Output 7" xfId="925" xr:uid="{00000000-0005-0000-0000-00009E030000}"/>
    <cellStyle name="Output 7 2" xfId="926" xr:uid="{00000000-0005-0000-0000-00009F030000}"/>
    <cellStyle name="Output 7 3" xfId="927" xr:uid="{00000000-0005-0000-0000-0000A0030000}"/>
    <cellStyle name="Output 8" xfId="928" xr:uid="{00000000-0005-0000-0000-0000A1030000}"/>
    <cellStyle name="Page heading" xfId="929" xr:uid="{00000000-0005-0000-0000-0000A2030000}"/>
    <cellStyle name="Percent" xfId="930" builtinId="5"/>
    <cellStyle name="Percent [0]" xfId="931" xr:uid="{00000000-0005-0000-0000-0000A4030000}"/>
    <cellStyle name="Percent [00]" xfId="932" xr:uid="{00000000-0005-0000-0000-0000A5030000}"/>
    <cellStyle name="Percent [2]" xfId="933" xr:uid="{00000000-0005-0000-0000-0000A6030000}"/>
    <cellStyle name="Percent 2" xfId="934" xr:uid="{00000000-0005-0000-0000-0000A7030000}"/>
    <cellStyle name="Percent 2 2" xfId="935" xr:uid="{00000000-0005-0000-0000-0000A8030000}"/>
    <cellStyle name="Percent 2 2 2" xfId="936" xr:uid="{00000000-0005-0000-0000-0000A9030000}"/>
    <cellStyle name="Percent 2 3" xfId="937" xr:uid="{00000000-0005-0000-0000-0000AA030000}"/>
    <cellStyle name="Percent 2 3 2" xfId="938" xr:uid="{00000000-0005-0000-0000-0000AB030000}"/>
    <cellStyle name="Percent 2 4" xfId="939" xr:uid="{00000000-0005-0000-0000-0000AC030000}"/>
    <cellStyle name="Percent 2 4 2" xfId="940" xr:uid="{00000000-0005-0000-0000-0000AD030000}"/>
    <cellStyle name="Percent 2 5" xfId="941" xr:uid="{00000000-0005-0000-0000-0000AE030000}"/>
    <cellStyle name="Percent 3" xfId="942" xr:uid="{00000000-0005-0000-0000-0000AF030000}"/>
    <cellStyle name="Percent 3 2" xfId="943" xr:uid="{00000000-0005-0000-0000-0000B0030000}"/>
    <cellStyle name="Percent 4" xfId="944" xr:uid="{00000000-0005-0000-0000-0000B1030000}"/>
    <cellStyle name="Percent 4 2" xfId="945" xr:uid="{00000000-0005-0000-0000-0000B2030000}"/>
    <cellStyle name="Percent 5" xfId="946" xr:uid="{00000000-0005-0000-0000-0000B3030000}"/>
    <cellStyle name="Percent 6" xfId="947" xr:uid="{00000000-0005-0000-0000-0000B4030000}"/>
    <cellStyle name="Percent 7" xfId="948" xr:uid="{00000000-0005-0000-0000-0000B5030000}"/>
    <cellStyle name="Percent 8" xfId="1071" xr:uid="{9E1921C9-0613-4F83-8B69-93A54B38B43D}"/>
    <cellStyle name="PrePop Currency (0)" xfId="949" xr:uid="{00000000-0005-0000-0000-0000B6030000}"/>
    <cellStyle name="PrePop Currency (2)" xfId="950" xr:uid="{00000000-0005-0000-0000-0000B7030000}"/>
    <cellStyle name="PrePop Units (0)" xfId="951" xr:uid="{00000000-0005-0000-0000-0000B8030000}"/>
    <cellStyle name="PrePop Units (1)" xfId="952" xr:uid="{00000000-0005-0000-0000-0000B9030000}"/>
    <cellStyle name="PrePop Units (2)" xfId="953" xr:uid="{00000000-0005-0000-0000-0000BA030000}"/>
    <cellStyle name="provisional PN158/97" xfId="954" xr:uid="{00000000-0005-0000-0000-0000BB030000}"/>
    <cellStyle name="PSChar" xfId="955" xr:uid="{00000000-0005-0000-0000-0000BC030000}"/>
    <cellStyle name="PSDate" xfId="956" xr:uid="{00000000-0005-0000-0000-0000BD030000}"/>
    <cellStyle name="PSDec" xfId="957" xr:uid="{00000000-0005-0000-0000-0000BE030000}"/>
    <cellStyle name="PSHeading" xfId="958" xr:uid="{00000000-0005-0000-0000-0000BF030000}"/>
    <cellStyle name="PSInt" xfId="959" xr:uid="{00000000-0005-0000-0000-0000C0030000}"/>
    <cellStyle name="PSSpacer" xfId="960" xr:uid="{00000000-0005-0000-0000-0000C1030000}"/>
    <cellStyle name="P嗴_x000c_〘 ńバ঒〘 " xfId="961" xr:uid="{00000000-0005-0000-0000-0000C2030000}"/>
    <cellStyle name="P嗴_x000c_〘 ńバ঒〘  2" xfId="962" xr:uid="{00000000-0005-0000-0000-0000C3030000}"/>
    <cellStyle name="P嗴_x000c_〘 ńバ঒〘 _Main Allocation Sheet" xfId="963" xr:uid="{00000000-0005-0000-0000-0000C4030000}"/>
    <cellStyle name="SAPBEXstdData" xfId="964" xr:uid="{00000000-0005-0000-0000-0000C5030000}"/>
    <cellStyle name="SAPBEXstdData 2" xfId="965" xr:uid="{00000000-0005-0000-0000-0000C6030000}"/>
    <cellStyle name="SAPBEXstdData 2 2" xfId="966" xr:uid="{00000000-0005-0000-0000-0000C7030000}"/>
    <cellStyle name="SAPBEXstdData 2 3" xfId="967" xr:uid="{00000000-0005-0000-0000-0000C8030000}"/>
    <cellStyle name="SAPBEXstdData 3" xfId="968" xr:uid="{00000000-0005-0000-0000-0000C9030000}"/>
    <cellStyle name="SAPBEXstdData 3 2" xfId="969" xr:uid="{00000000-0005-0000-0000-0000CA030000}"/>
    <cellStyle name="SAPBEXstdData 3 3" xfId="970" xr:uid="{00000000-0005-0000-0000-0000CB030000}"/>
    <cellStyle name="SAPBEXstdData 4" xfId="971" xr:uid="{00000000-0005-0000-0000-0000CC030000}"/>
    <cellStyle name="SAPBEXstdData 4 2" xfId="972" xr:uid="{00000000-0005-0000-0000-0000CD030000}"/>
    <cellStyle name="SAPBEXstdData 4 3" xfId="973" xr:uid="{00000000-0005-0000-0000-0000CE030000}"/>
    <cellStyle name="SAPBEXstdData 5" xfId="974" xr:uid="{00000000-0005-0000-0000-0000CF030000}"/>
    <cellStyle name="Satisfaisant" xfId="975" xr:uid="{00000000-0005-0000-0000-0000D0030000}"/>
    <cellStyle name="Sheet Title" xfId="976" xr:uid="{00000000-0005-0000-0000-0000D1030000}"/>
    <cellStyle name="Sortie" xfId="977" xr:uid="{00000000-0005-0000-0000-0000D2030000}"/>
    <cellStyle name="Style 1" xfId="978" xr:uid="{00000000-0005-0000-0000-0000D3030000}"/>
    <cellStyle name="Style 1 2" xfId="979" xr:uid="{00000000-0005-0000-0000-0000D4030000}"/>
    <cellStyle name="Style 1_Main Allocation Sheet" xfId="980" xr:uid="{00000000-0005-0000-0000-0000D5030000}"/>
    <cellStyle name="Style 22" xfId="981" xr:uid="{00000000-0005-0000-0000-0000D6030000}"/>
    <cellStyle name="Style 23" xfId="982" xr:uid="{00000000-0005-0000-0000-0000D7030000}"/>
    <cellStyle name="Style 24" xfId="983" xr:uid="{00000000-0005-0000-0000-0000D8030000}"/>
    <cellStyle name="Style 25" xfId="984" xr:uid="{00000000-0005-0000-0000-0000D9030000}"/>
    <cellStyle name="Style 26" xfId="985" xr:uid="{00000000-0005-0000-0000-0000DA030000}"/>
    <cellStyle name="Style 27" xfId="986" xr:uid="{00000000-0005-0000-0000-0000DB030000}"/>
    <cellStyle name="sub" xfId="987" xr:uid="{00000000-0005-0000-0000-0000DC030000}"/>
    <cellStyle name="table imported" xfId="988" xr:uid="{00000000-0005-0000-0000-0000DD030000}"/>
    <cellStyle name="table imported 2" xfId="989" xr:uid="{00000000-0005-0000-0000-0000DE030000}"/>
    <cellStyle name="table imported 2 2" xfId="990" xr:uid="{00000000-0005-0000-0000-0000DF030000}"/>
    <cellStyle name="table sum" xfId="991" xr:uid="{00000000-0005-0000-0000-0000E0030000}"/>
    <cellStyle name="table sum 2" xfId="992" xr:uid="{00000000-0005-0000-0000-0000E1030000}"/>
    <cellStyle name="table sum 2 2" xfId="993" xr:uid="{00000000-0005-0000-0000-0000E2030000}"/>
    <cellStyle name="table values" xfId="994" xr:uid="{00000000-0005-0000-0000-0000E3030000}"/>
    <cellStyle name="table values 2" xfId="995" xr:uid="{00000000-0005-0000-0000-0000E4030000}"/>
    <cellStyle name="table values 2 2" xfId="996" xr:uid="{00000000-0005-0000-0000-0000E5030000}"/>
    <cellStyle name="Text Indent A" xfId="997" xr:uid="{00000000-0005-0000-0000-0000E6030000}"/>
    <cellStyle name="Text Indent B" xfId="998" xr:uid="{00000000-0005-0000-0000-0000E7030000}"/>
    <cellStyle name="Text Indent C" xfId="999" xr:uid="{00000000-0005-0000-0000-0000E8030000}"/>
    <cellStyle name="Texte explicatif" xfId="1000" xr:uid="{00000000-0005-0000-0000-0000E9030000}"/>
    <cellStyle name="Title" xfId="1001" builtinId="15" customBuiltin="1"/>
    <cellStyle name="Title 2" xfId="1002" xr:uid="{00000000-0005-0000-0000-0000EB030000}"/>
    <cellStyle name="Title 3" xfId="1003" xr:uid="{00000000-0005-0000-0000-0000EC030000}"/>
    <cellStyle name="Title 4" xfId="1004" xr:uid="{00000000-0005-0000-0000-0000ED030000}"/>
    <cellStyle name="Title 5" xfId="1005" xr:uid="{00000000-0005-0000-0000-0000EE030000}"/>
    <cellStyle name="Titre" xfId="1006" xr:uid="{00000000-0005-0000-0000-0000EF030000}"/>
    <cellStyle name="Titre 1" xfId="1007" xr:uid="{00000000-0005-0000-0000-0000F0030000}"/>
    <cellStyle name="Titre 2" xfId="1008" xr:uid="{00000000-0005-0000-0000-0000F1030000}"/>
    <cellStyle name="Titre 3" xfId="1009" xr:uid="{00000000-0005-0000-0000-0000F2030000}"/>
    <cellStyle name="Titre 4" xfId="1010" xr:uid="{00000000-0005-0000-0000-0000F3030000}"/>
    <cellStyle name="Total" xfId="1011" builtinId="25" customBuiltin="1"/>
    <cellStyle name="Total 2" xfId="1012" xr:uid="{00000000-0005-0000-0000-0000F5030000}"/>
    <cellStyle name="Total 2 2" xfId="1013" xr:uid="{00000000-0005-0000-0000-0000F6030000}"/>
    <cellStyle name="Total 2 2 2" xfId="1014" xr:uid="{00000000-0005-0000-0000-0000F7030000}"/>
    <cellStyle name="Total 2 2 3" xfId="1015" xr:uid="{00000000-0005-0000-0000-0000F8030000}"/>
    <cellStyle name="Total 2 2 4" xfId="1016" xr:uid="{00000000-0005-0000-0000-0000F9030000}"/>
    <cellStyle name="Total 2 3" xfId="1017" xr:uid="{00000000-0005-0000-0000-0000FA030000}"/>
    <cellStyle name="Total 2 3 2" xfId="1018" xr:uid="{00000000-0005-0000-0000-0000FB030000}"/>
    <cellStyle name="Total 2 3 3" xfId="1019" xr:uid="{00000000-0005-0000-0000-0000FC030000}"/>
    <cellStyle name="Total 2 4" xfId="1020" xr:uid="{00000000-0005-0000-0000-0000FD030000}"/>
    <cellStyle name="Total 2 4 2" xfId="1021" xr:uid="{00000000-0005-0000-0000-0000FE030000}"/>
    <cellStyle name="Total 2 4 3" xfId="1022" xr:uid="{00000000-0005-0000-0000-0000FF030000}"/>
    <cellStyle name="Total 2 5" xfId="1023" xr:uid="{00000000-0005-0000-0000-000000040000}"/>
    <cellStyle name="Total 3" xfId="1024" xr:uid="{00000000-0005-0000-0000-000001040000}"/>
    <cellStyle name="Total 3 2" xfId="1025" xr:uid="{00000000-0005-0000-0000-000002040000}"/>
    <cellStyle name="Total 3 2 2" xfId="1026" xr:uid="{00000000-0005-0000-0000-000003040000}"/>
    <cellStyle name="Total 3 2 3" xfId="1027" xr:uid="{00000000-0005-0000-0000-000004040000}"/>
    <cellStyle name="Total 3 3" xfId="1028" xr:uid="{00000000-0005-0000-0000-000005040000}"/>
    <cellStyle name="Total 3 3 2" xfId="1029" xr:uid="{00000000-0005-0000-0000-000006040000}"/>
    <cellStyle name="Total 3 3 3" xfId="1030" xr:uid="{00000000-0005-0000-0000-000007040000}"/>
    <cellStyle name="Total 3 4" xfId="1031" xr:uid="{00000000-0005-0000-0000-000008040000}"/>
    <cellStyle name="Total 3 4 2" xfId="1032" xr:uid="{00000000-0005-0000-0000-000009040000}"/>
    <cellStyle name="Total 3 4 3" xfId="1033" xr:uid="{00000000-0005-0000-0000-00000A040000}"/>
    <cellStyle name="Total 3 5" xfId="1034" xr:uid="{00000000-0005-0000-0000-00000B040000}"/>
    <cellStyle name="Total 4" xfId="1035" xr:uid="{00000000-0005-0000-0000-00000C040000}"/>
    <cellStyle name="Total 4 2" xfId="1036" xr:uid="{00000000-0005-0000-0000-00000D040000}"/>
    <cellStyle name="Total 4 2 2" xfId="1037" xr:uid="{00000000-0005-0000-0000-00000E040000}"/>
    <cellStyle name="Total 4 2 3" xfId="1038" xr:uid="{00000000-0005-0000-0000-00000F040000}"/>
    <cellStyle name="Total 4 3" xfId="1039" xr:uid="{00000000-0005-0000-0000-000010040000}"/>
    <cellStyle name="Total 4 3 2" xfId="1040" xr:uid="{00000000-0005-0000-0000-000011040000}"/>
    <cellStyle name="Total 4 3 3" xfId="1041" xr:uid="{00000000-0005-0000-0000-000012040000}"/>
    <cellStyle name="Total 4 4" xfId="1042" xr:uid="{00000000-0005-0000-0000-000013040000}"/>
    <cellStyle name="Total 4 4 2" xfId="1043" xr:uid="{00000000-0005-0000-0000-000014040000}"/>
    <cellStyle name="Total 4 4 3" xfId="1044" xr:uid="{00000000-0005-0000-0000-000015040000}"/>
    <cellStyle name="Total 4 5" xfId="1045" xr:uid="{00000000-0005-0000-0000-000016040000}"/>
    <cellStyle name="Total 5" xfId="1046" xr:uid="{00000000-0005-0000-0000-000017040000}"/>
    <cellStyle name="Total 5 2" xfId="1047" xr:uid="{00000000-0005-0000-0000-000018040000}"/>
    <cellStyle name="Total 5 3" xfId="1048" xr:uid="{00000000-0005-0000-0000-000019040000}"/>
    <cellStyle name="Total 6" xfId="1049" xr:uid="{00000000-0005-0000-0000-00001A040000}"/>
    <cellStyle name="Total 6 2" xfId="1050" xr:uid="{00000000-0005-0000-0000-00001B040000}"/>
    <cellStyle name="Total 6 3" xfId="1051" xr:uid="{00000000-0005-0000-0000-00001C040000}"/>
    <cellStyle name="Total 7" xfId="1052" xr:uid="{00000000-0005-0000-0000-00001D040000}"/>
    <cellStyle name="Total 7 2" xfId="1053" xr:uid="{00000000-0005-0000-0000-00001E040000}"/>
    <cellStyle name="Total 7 3" xfId="1054" xr:uid="{00000000-0005-0000-0000-00001F040000}"/>
    <cellStyle name="Total 8" xfId="1055" xr:uid="{00000000-0005-0000-0000-000020040000}"/>
    <cellStyle name="TotalStyleCurrency" xfId="1056" xr:uid="{00000000-0005-0000-0000-000021040000}"/>
    <cellStyle name="TotalStyleText" xfId="1057" xr:uid="{00000000-0005-0000-0000-000022040000}"/>
    <cellStyle name="u5shares" xfId="1058" xr:uid="{00000000-0005-0000-0000-000023040000}"/>
    <cellStyle name="Variable assumptions" xfId="1059" xr:uid="{00000000-0005-0000-0000-000024040000}"/>
    <cellStyle name="Vérification" xfId="1060" xr:uid="{00000000-0005-0000-0000-000025040000}"/>
    <cellStyle name="Warning Text" xfId="1061" builtinId="11" customBuiltin="1"/>
    <cellStyle name="Warning Text 2" xfId="1062" xr:uid="{00000000-0005-0000-0000-000027040000}"/>
    <cellStyle name="Warning Text 2 2" xfId="1063" xr:uid="{00000000-0005-0000-0000-000028040000}"/>
    <cellStyle name="Warning Text 3" xfId="1064" xr:uid="{00000000-0005-0000-0000-000029040000}"/>
    <cellStyle name="Warning Text 4" xfId="1065" xr:uid="{00000000-0005-0000-0000-00002A040000}"/>
    <cellStyle name="Warning Text 5" xfId="1066" xr:uid="{00000000-0005-0000-0000-00002B040000}"/>
  </cellStyles>
  <dxfs count="65">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76" Type="http://schemas.openxmlformats.org/officeDocument/2006/relationships/styles" Target="styles.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externalLink" Target="externalLinks/externalLink6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61" Type="http://schemas.openxmlformats.org/officeDocument/2006/relationships/externalLink" Target="externalLinks/externalLink55.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77" Type="http://schemas.openxmlformats.org/officeDocument/2006/relationships/sharedStrings" Target="sharedStrings.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1695450</xdr:colOff>
      <xdr:row>2</xdr:row>
      <xdr:rowOff>428625</xdr:rowOff>
    </xdr:from>
    <xdr:to>
      <xdr:col>1</xdr:col>
      <xdr:colOff>2019300</xdr:colOff>
      <xdr:row>2</xdr:row>
      <xdr:rowOff>428625</xdr:rowOff>
    </xdr:to>
    <xdr:sp macro="" textlink="">
      <xdr:nvSpPr>
        <xdr:cNvPr id="1032" name="Line 1">
          <a:extLst>
            <a:ext uri="{FF2B5EF4-FFF2-40B4-BE49-F238E27FC236}">
              <a16:creationId xmlns:a16="http://schemas.microsoft.com/office/drawing/2014/main" id="{1CB881E4-CA7A-86DB-0B38-A12D00BE3C9F}"/>
            </a:ext>
          </a:extLst>
        </xdr:cNvPr>
        <xdr:cNvSpPr>
          <a:spLocks noChangeShapeType="1"/>
        </xdr:cNvSpPr>
      </xdr:nvSpPr>
      <xdr:spPr bwMode="auto">
        <a:xfrm>
          <a:off x="3952875" y="914400"/>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314325</xdr:colOff>
      <xdr:row>1</xdr:row>
      <xdr:rowOff>123825</xdr:rowOff>
    </xdr:from>
    <xdr:to>
      <xdr:col>7</xdr:col>
      <xdr:colOff>723900</xdr:colOff>
      <xdr:row>4</xdr:row>
      <xdr:rowOff>38100</xdr:rowOff>
    </xdr:to>
    <xdr:sp macro="[0]!Addaschool" textlink="">
      <xdr:nvSpPr>
        <xdr:cNvPr id="3648" name="Rounded Rectangle 1">
          <a:extLst>
            <a:ext uri="{FF2B5EF4-FFF2-40B4-BE49-F238E27FC236}">
              <a16:creationId xmlns:a16="http://schemas.microsoft.com/office/drawing/2014/main" id="{0DFADB93-80FE-0BE6-A11E-1C96E0042FFF}"/>
            </a:ext>
          </a:extLst>
        </xdr:cNvPr>
        <xdr:cNvSpPr>
          <a:spLocks noChangeArrowheads="1"/>
        </xdr:cNvSpPr>
      </xdr:nvSpPr>
      <xdr:spPr bwMode="auto">
        <a:xfrm>
          <a:off x="10096500" y="361950"/>
          <a:ext cx="1362075" cy="704850"/>
        </a:xfrm>
        <a:prstGeom prst="roundRect">
          <a:avLst>
            <a:gd name="adj" fmla="val 16667"/>
          </a:avLst>
        </a:prstGeom>
        <a:solidFill>
          <a:srgbClr val="C6D9F1"/>
        </a:solidFill>
        <a:ln w="25400" algn="ctr">
          <a:solidFill>
            <a:srgbClr val="1F497D"/>
          </a:solidFill>
          <a:round/>
          <a:headEnd/>
          <a:tailEnd/>
        </a:ln>
      </xdr:spPr>
      <xdr:txBody>
        <a:bodyPr vertOverflow="clip" wrap="square" lIns="27432" tIns="27432" rIns="0" bIns="27432" anchor="ctr" upright="1"/>
        <a:lstStyle/>
        <a:p>
          <a:pPr algn="l" rtl="0">
            <a:defRPr sz="1000"/>
          </a:pPr>
          <a:r>
            <a:rPr lang="en-GB" sz="1100" b="1" i="0" u="none" strike="noStrike" baseline="0">
              <a:solidFill>
                <a:srgbClr val="000000"/>
              </a:solidFill>
              <a:latin typeface="Calibri"/>
              <a:cs typeface="Calibri"/>
            </a:rPr>
            <a:t>&lt;&lt;Click to Add &amp; Compare another School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san03\lid\Recurrent%20Funding\Recurrent%202004-05\Passporting\Passporting%20Calulation%20Spreadsheet\Passporting0405_baselineFINAL2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AR\2002\SWGE\SWGE_DAR_27_02_02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ycle2B-2009-10\EOY\Standards%20Funds\SF0910%20EOY%20@%2015%20Ma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chool%20Funding\Cycle%2010%20-%202018-19\December%20Adjustments\GOLD\2018-19%20DecReport%20v5.0%20@%205Dec18%20Fina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FEE-LON-072\USERS\SSAs-EFS\2003-04\Final%20SSAs\Final%20model\model_HTv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AR\2002\Transformation%20Model\Transformation_Model_16_08_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chool%20Funding\Cycle%205A-2013-14\EFA%20returns\Gold%20Jan%202013%20EFA%20return\Working%20documents\Copy%20of%20LA_302_Jan13_Additional_Data_FINALv4%20+%20Notional%20SE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chool%20Funding\Cycle%205A-2013-14\Modelling\Formula%20Funding%20Review\Modelling%20for%2013-14\Scenario%204%20-%20FSM.LUMP.EAL.MOB%20CAPPED%2024.9.1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EN\SENAM\Zahid%20Aftab\Chris%20Aston\All%20ARP's%20&amp;%20Special%20schools%20Oct%202013\term2-spring%202014\School%20returns\SEN13_Barnet%20Blan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SHAREDACCY\Budget%20and%20Forward%20Plan%202011-12\Budget%20Book\Service%20Forward%20Plans%202011-12b(formatte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ARC\Dedicated%20Schools%20Grant\2014-15%20Allocations\Pupil%20Premium\Models\Primary\201415_Pupil_Premium_allocations_Fani_v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P\SWAUP2\Demography\BWRM5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AdHoc\DualRun_pre-election%20policy%20costing_protected%20soft%20NFF.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IFLADiv\Capital\Condition\RB%20Level%20Allocations%20Model\20150112%20Maintenance%20Options%20Model%20v3.6%20(revised%20budget)%20CSOP.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Surplus2000\Surplus%20Analysis%2020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chool%20Funding\Cycle%206A-2014-15\DSG%20&amp;%20Schools%20Budget\Schools%20Budget%202014-15%20@%2013%20Mar%20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bbarnet.local\sharedareas\School%20Funding\Cycle%2011%20-%202019-20\Autumn%20Funding%20Adjustments\New%20system\New%20SEN%20system%20-%20Autumn19%20%20@%2029Oct1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School%20Funding\Cycle%207%20-%202015-16\EOY%20adjustments\EOYReport97%20V8.0%20@%2019Jan16%2017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chool%20Funding\Cycle%206A-2014-15\BudgetMonitoring\SEN\SEN%20Placements%201415%20Mth%2005%20LJB.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SWAU2\TEAM2\!DEMOGRA\DME7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School%20Funding\Cycle%205A-2013-14\DSG%20Cost%20centres\DSG%20Cost%20centres%20@%203%20July%201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lbb2prnv1\Accountancy\Childrens%20and%20Adults\S251\S251%202011-12%20Budget\Working%20Papers\Sap%20download%20@%2010.03.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ESG\SR_2015\LA%20pupil%20numbers.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Documents%20and%20Settings\carol.beckman\Local%20Settings\Temp\wz38ef\OReport%20101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ational%20Funding%20Formula%20-%202014-15\DualRun%20model\MFL%20DualRun%202014-15%20Y14M07D08.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TRB\STRB98\TABLES\TABLE21\TABLE21\VACANCY.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lonnetapp01\ASDDATA\TEAM2\!DEMOGRA\DME7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chool%20Funding\Cycle%207%20-%202015-16\APT%202015-16\Jan%202015%20APT\201516_01_APT_302_Barnet_20.1.1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O:\School%20Funding\Cycle%207%20-%202015-16\DSG%20Allocations\DSG_2015-16_allocations_spreadsheet_updated_July_201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bbarnet.local\sharedareas\School%20Funding\Cycle%2011%20-%202019-20\APT\APT%20Jan%202019\Models\Final%20upload\302_201920_P3_APT_302_Barnet_20190123_14_44%20Download%20from%20Portal%206.2.1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chool%20Funding\Cycle%206A-2014-15\DecemberAdjustments\Gold\DReport%20@23%20Dec1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SEN\SENAM\Budget%20Monitoring\Financial%20Year%202012-13\Monthly%20Monitoring%20Figures%202012-13\Month%206\1.%20Placements\SEN%20Placements%20&amp;%20Provisions%20Budget%202012-13%20(Mth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School%20Funding\Cycle%205A-2013-14\High%20Needs\302_HNPPlaceDataChecking%20-%20submiss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School%20Funding\Cycle%2011%20-%202019-20\Autumn%20Funding%20Adjustments\GOLD\Autumn%20adjustments%20v4.1%20@%202.10.19.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Cycle1AFinal\BS06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assets.publishing.service.gov.uk/government/uploads/system/uploads/attachment_data/file/729237/Impact_of_the_schools_NFF%20%202019-20%20Mock%20Up.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School%20Funding\Cycle%205A-2013-14\Baseline%20data\302_Baselines_Oct12%20(Revised)%20(2)@5Dec1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ational%20Funding%20Formula%20-%202015-16%20base\NoLosersOptionsForNo10_Sept15\DualRun%202015-16%20SoftNFF%20Y15M07D30_100%25MFL_NoLosers.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henetapp01\efa2\Systems%20Academies\16-17%20Submissions\Aggregation%20(DQA%20USE%20ONLY)\02%20January%20Aggregation\Administration\Build\aggregated%20files\8_9-Commentary_Proforma.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FF%202016-17%20base\16-17%20aggregated%20proforma%20data\1-Schools%20block_20160308_10_0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wrk\apt%20auto\1516%20auto\files\APT_201516_v8.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Schools%20Services\Fair%20Funding\Cycle3A-2011-12\Provisionals\EReport1011%20@14FEB143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chool%20Funding/Cycle%208%20-%202016-17%20RESTORED/DSG%20and%20Schools%20Budget%202016-17/Version%205%20workings/Budget%20Preparation%20V5%202016-17@14Jan16.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Schools%20Services\Fair%20Funding\Children%20in%20Need\Children%20in%20Need%200910\Funding%20Sheets\Children%20in%20Need%20funding%20@%2013%20Oc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etemp\Temporary%20Internet%20Files\OLK2E\pupil%20number%20tool_v0.1_140206.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School%20Funding\Cycle%205A-2013-14\DSG%20and%20Schools%20Budget\Dedicated%20Schools%20Grant%202013-14%20reconciliations.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Users\cinzana.khan\AppData\Local\Temp\Temp1_DecReport97%20V7.0%20@%2021Dec15%201500%20(20).zip\DecReport97%20V7.0%20@%2021Dec15%20150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Users\schristmas\AppData\Local\Microsoft\Windows\Temporary%20Internet%20Files\Content.Outlook\KMX4B70Z\2016%20to%202017%20SBUFs_v3.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ACAs\Modelling\ACAmodel_SWFC_aut13_Y15M02D12.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FF_CSB\DataInput\ACAmodel_SWFC_aut13Method2_s251PrimSec_Y16M04D06.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School%20Funding/Cycle%207%20-%202015-16/EOY%20adjustments/Gold/Copy%20of%20EOYReport15-16%20V8.2%20@%2022Mar%20for%20web.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School%20Funding\Cycle%206A-2014-15\BudgetMonitoring\SEN\SEN%20Placements%201415%20Mth%2005%20LJB.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FF_CSB\CentralServicesBlock_V6.1_Deprivation_NoMinimum.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P:\Schools%20Services\Fair%20Funding\Cycle3A-2011-12\Provisionals\EReport1011%20@14FEB143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School%20Funding\Cycle%205A-2013-14\SummerAdjustments\Exclusions-%20Copy%20of%20For%20Carols%20Sept%2013%20Adj.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hool%20Funding\Cycle%206A-2014-15\APT%202014-15\Jan2014%20APT\201415_APT_302_Barnet.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Cycle2B-2009-10\Original\Standards%20Funds\SSG%202008-11%20-%20SSG%20LA%20calculator%20@%203%20Mar.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O:\School%20Funding\Cycle%206A-2014-15\SeptemberAdjustments\SReport@15Jul14%201215.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ational%20Funding%20Formula%20-%202015-16%20base\NFFtool_2015-16base_Y15M03D23.xlsm"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lbb2prnv1\Accountancy\Education%20Accountancy\S52\S251%202010-11%20Budget\Working%20Papers\SAP%20Download%20at%2024.02.201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S52%20budget%202003-04\2003%20Comparative%20Tables\Reserve%20Power\ReservePowersLEASpreadsheets\January%20Model\ResPowerLEASheetsv0.12_180103_withWholeTable.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Users\rwilliamson1\AppData\Local\Microsoft\Windows\Temporary%20Internet%20Files\Content.Outlook\COR5P5K2\Capital%20Allocations%20DFC%202014-15%20Macro%20v1.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Schools%20Services\Fair%20Funding\Cycle3A-2011-12\Provisionals\PTfunding%201112@17Feb100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Schools%20accountancy\Excluded%20Pupils\2010-11\Excluded%20Pupil%20Detail%202010%20-1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Schools%20accountancy/Benchmarking/2019-20/CFR20192020_BenchMarkDataRepor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chool%20Funding\Cycle%208%20-%202016-17%20RESTORED\APT\2016.17%20January%20APT\201617_P2_APT_302_Barnet%20Working%20vers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bbarnet.local\sharedareas\Accountancy\School%20Funding\Cycle%2012-2020-21\APT\Final%20APT\Upload\Copy%20of%20202021_P2_APT_302_BarnetV7-uploa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R\2002\SWGE\SWGE2002_final_03-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 Summary "/>
      <sheetName val="Passporting Calculation Sheet"/>
      <sheetName val="Provisional Budget"/>
      <sheetName val="Adjustments"/>
      <sheetName val="Data Sheet"/>
      <sheetName val="Summaries"/>
      <sheetName val="2004-05 FINAL EIC"/>
      <sheetName val="2004-05 Provisiona EFSS FIGURES"/>
      <sheetName val="2004-05 Final EFSS Figures"/>
      <sheetName val="Running info"/>
      <sheetName val="Passporting 2004-05"/>
      <sheetName val="SB"/>
      <sheetName val="LSC"/>
      <sheetName val="SHORTNAMES"/>
      <sheetName val="Just Passporting"/>
      <sheetName val="Errors"/>
      <sheetName val="VendorNumbers"/>
      <sheetName val="LEA_Summary_"/>
      <sheetName val="Passporting_Calculation_Sheet"/>
      <sheetName val="Provisional_Budget"/>
      <sheetName val="Data_Sheet"/>
      <sheetName val="2004-05_FINAL_EIC"/>
      <sheetName val="2004-05_Provisiona_EFSS_FIGURES"/>
      <sheetName val="2004-05_Final_EFSS_Figures"/>
      <sheetName val="Running_info"/>
      <sheetName val="Passporting_2004-05"/>
      <sheetName val="Just_Passpor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Data Sources"/>
      <sheetName val="New Under Five Assumptions"/>
      <sheetName val="Assumptions"/>
      <sheetName val="Inputs to Inputs!"/>
      <sheetName val="Inputs for SWGE Forecasting"/>
      <sheetName val="Calculation of Repricing Factor"/>
      <sheetName val="Statemented Adjustment Factor "/>
      <sheetName val="PRC Repricing Factor"/>
      <sheetName val="Nursery Forecasting"/>
      <sheetName val="Primary Forecasting"/>
      <sheetName val="Secondary Forecasting"/>
      <sheetName val="Special Forecasting"/>
      <sheetName val="FE for Adult Education Forecast"/>
      <sheetName val="Other Forecasting"/>
      <sheetName val="Transport Forecasting"/>
      <sheetName val="Final Summary of all Forecasts"/>
      <sheetName val="Split Under Fives PVI"/>
      <sheetName val="Under Fives PVI Split NEG"/>
      <sheetName val="SSG 2001-02"/>
      <sheetName val="TALL4"/>
      <sheetName val="EMA Split"/>
      <sheetName val="TALL4 SWGE"/>
      <sheetName val="Tallies Summary"/>
      <sheetName val="Summary of tallies summary"/>
      <sheetName val="Database info"/>
      <sheetName val="Grants 2001-02"/>
      <sheetName val="Project A "/>
      <sheetName val="File_details"/>
      <sheetName val="Data_Sources"/>
      <sheetName val="New_Under_Five_Assumptions"/>
      <sheetName val="Inputs_to_Inputs!"/>
      <sheetName val="Inputs_for_SWGE_Forecasting"/>
      <sheetName val="Calculation_of_Repricing_Factor"/>
      <sheetName val="Statemented_Adjustment_Factor_"/>
      <sheetName val="PRC_Repricing_Factor"/>
      <sheetName val="Nursery_Forecasting"/>
      <sheetName val="Primary_Forecasting"/>
      <sheetName val="Secondary_Forecasting"/>
      <sheetName val="Special_Forecasting"/>
      <sheetName val="FE_for_Adult_Education_Forecast"/>
      <sheetName val="Other_Forecasting"/>
      <sheetName val="Transport_Forecasting"/>
      <sheetName val="Final_Summary_of_all_Forecasts"/>
      <sheetName val="Split_Under_Fives_PVI"/>
      <sheetName val="Under_Fives_PVI_Split_NEG"/>
      <sheetName val="SSG_2001-02"/>
      <sheetName val="EMA_Split"/>
      <sheetName val="TALL4_SWGE"/>
      <sheetName val="Tallies_Summary"/>
      <sheetName val="Summary_of_tallies_summary"/>
      <sheetName val="Database_info"/>
      <sheetName val="Grants_2001-02"/>
      <sheetName val="Project_A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LES"/>
      <sheetName val="Dec0910Alloc"/>
      <sheetName val="Report"/>
      <sheetName val="1-2-1"/>
      <sheetName val="Grant1.2"/>
      <sheetName val="SDG"/>
      <sheetName val="Grant1.7"/>
      <sheetName val="Grant 1.8"/>
      <sheetName val="Grant 1.9"/>
      <sheetName val="News"/>
      <sheetName val="MarAuto10"/>
      <sheetName val="MarAutoPRU"/>
      <sheetName val="GrantPivot"/>
      <sheetName val="reportpiv"/>
      <sheetName val="Malloc910"/>
      <sheetName val="transactions"/>
      <sheetName val="Grant 1.7Detail"/>
      <sheetName val="AutoSept"/>
      <sheetName val="SSG(P)"/>
      <sheetName val="VendorNos"/>
      <sheetName val="Coding"/>
      <sheetName val="notes"/>
      <sheetName val="SDG Overall"/>
      <sheetName val="Auto May"/>
      <sheetName val="SDG devolve"/>
      <sheetName val="Octalloc0910"/>
      <sheetName val="Specialist"/>
      <sheetName val="Specialism"/>
      <sheetName val="Compare"/>
      <sheetName val="MYAlloc910"/>
      <sheetName val="ASTs"/>
      <sheetName val="EiC-BIP"/>
      <sheetName val="Grant 1.2"/>
      <sheetName val="EMAG"/>
      <sheetName val="121 Pri"/>
      <sheetName val="121 Sec"/>
      <sheetName val="Grant 1.6"/>
      <sheetName val="Grant 1.7"/>
      <sheetName val="Grant 1.7 EYS"/>
      <sheetName val="STP"/>
      <sheetName val="Grant1.8"/>
      <sheetName val="LPA"/>
      <sheetName val="CLT"/>
      <sheetName val="Harnessing"/>
      <sheetName val="Aim higher"/>
      <sheetName val="Travel"/>
      <sheetName val="DFC Revised"/>
      <sheetName val="SSG ALLOC"/>
      <sheetName val="DFC"/>
      <sheetName val="Grant 1.8Detail"/>
      <sheetName val="Loans"/>
      <sheetName val="GrantStrands"/>
      <sheetName val="Schools"/>
      <sheetName val="Ealloc89"/>
      <sheetName val="ESDG0809"/>
      <sheetName val="Oalloc910"/>
      <sheetName val="Prov SDG 0910"/>
      <sheetName val="AutoMaySSG"/>
      <sheetName val="DFC89"/>
      <sheetName val="CLT0809"/>
      <sheetName val="Grant1_2"/>
      <sheetName val="Grant1_7"/>
      <sheetName val="Grant_1_8"/>
      <sheetName val="Grant_1_9"/>
      <sheetName val="Grant_1_7Detail"/>
      <sheetName val="SDG_Overall"/>
      <sheetName val="Auto_May"/>
      <sheetName val="SDG_devolve"/>
      <sheetName val="Grant_1_2"/>
      <sheetName val="121_Pri"/>
      <sheetName val="121_Sec"/>
      <sheetName val="Grant_1_6"/>
      <sheetName val="Grant_1_7"/>
      <sheetName val="Grant_1_7_EYS"/>
      <sheetName val="Grant1_8"/>
      <sheetName val="Aim_higher"/>
      <sheetName val="DFC_Revised"/>
      <sheetName val="SSG_ALLOC"/>
      <sheetName val="Grant_1_8Detail"/>
      <sheetName val="Prov_SDG_09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row r="1">
          <cell r="K1">
            <v>43758</v>
          </cell>
        </row>
        <row r="2">
          <cell r="I2">
            <v>130000</v>
          </cell>
        </row>
        <row r="3">
          <cell r="I3">
            <v>30000</v>
          </cell>
        </row>
        <row r="5">
          <cell r="I5">
            <v>215446</v>
          </cell>
          <cell r="K5">
            <v>39862</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1">
          <cell r="K1">
            <v>43758</v>
          </cell>
        </row>
      </sheetData>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sheetName val="Choose"/>
      <sheetName val="News"/>
      <sheetName val="Home"/>
      <sheetName val="DFCOriginal1819"/>
      <sheetName val="PEGrantOriginal11819"/>
      <sheetName val="1718OriginalFunding"/>
      <sheetName val="Home - BEYA"/>
      <sheetName val="Home - Brookhill Nursery"/>
      <sheetName val="Home - Hampden Way Nursery"/>
      <sheetName val="Home-St Margarets Nursery"/>
      <sheetName val="NNDR Calc Sheet"/>
      <sheetName val="EOY1718"/>
      <sheetName val="Payments"/>
      <sheetName val="Payments - BEYA"/>
      <sheetName val="Payments - Brookhill Nursery"/>
      <sheetName val="Payments - Hampden Way Nursery"/>
      <sheetName val="Payments - St Margarets Nursery"/>
      <sheetName val="CFR"/>
      <sheetName val="BudgetShare"/>
      <sheetName val="Grants"/>
      <sheetName val="PupilPremium"/>
      <sheetName val="TopUps"/>
      <sheetName val="Pupillist"/>
      <sheetName val="HighNeeds"/>
      <sheetName val="HNRates"/>
      <sheetName val="MFG"/>
      <sheetName val="Pupils"/>
      <sheetName val="OCT17Census"/>
      <sheetName val="AdjustedFactors1819"/>
      <sheetName val="NEWISB"/>
      <sheetName val="Rates"/>
      <sheetName val="1819Expansions.Growth18.12.17"/>
      <sheetName val="Sheet1"/>
      <sheetName val="Growth"/>
      <sheetName val="MthlyAcadPivot"/>
      <sheetName val="AdjustedFactors1718"/>
      <sheetName val="TopUpsTRANSlinesOriginal1718"/>
      <sheetName val="1718TRANS VALUE"/>
      <sheetName val="1718UIFSMOriginals"/>
      <sheetName val="1617TRANSFORMULA"/>
      <sheetName val="PupilPremiumfor1718Originals"/>
      <sheetName val="UIFSM1617Final.1718&amp;1819Prov"/>
      <sheetName val="1718UIFSMJulyActuals"/>
      <sheetName val="AprMthly"/>
      <sheetName val="SixthForm"/>
      <sheetName val="Schools"/>
      <sheetName val="Federations"/>
      <sheetName val="EYDataACTUALS1819"/>
      <sheetName val="Post16Actuals1819"/>
      <sheetName val="PayLookup"/>
      <sheetName val="EYDataOriginal1819"/>
      <sheetName val="SPR17 Revised EY Data"/>
      <sheetName val="EYPP&amp;SummerAdjustments"/>
      <sheetName val="Summer17EarlyYearsPivot"/>
      <sheetName val="EYPP&amp;AutumnAdjustments"/>
      <sheetName val="aUT DATA"/>
      <sheetName val="OCT16Census"/>
      <sheetName val="SUMA16 reporting calcs"/>
      <sheetName val="BEYA Early Years Summary"/>
      <sheetName val="Early Years - Brookhill Nursery"/>
      <sheetName val="EarlyYears"/>
      <sheetName val="Early Years-Hampden Way Nursery"/>
      <sheetName val="Early Years - St Margarets"/>
      <sheetName val="HNPlaceList"/>
      <sheetName val="EOYTRANS1617"/>
      <sheetName val="Compare"/>
      <sheetName val="CostCentres"/>
      <sheetName val="Autopivot"/>
      <sheetName val="Autopay1"/>
      <sheetName val="Autopay2"/>
      <sheetName val="Autopay3"/>
      <sheetName val="Autopay4"/>
      <sheetName val="Tabs"/>
      <sheetName val="Sheet2"/>
    </sheetNames>
    <sheetDataSet>
      <sheetData sheetId="0"/>
      <sheetData sheetId="1">
        <row r="6">
          <cell r="D6" t="str">
            <v>Please choose a school</v>
          </cell>
        </row>
      </sheetData>
      <sheetData sheetId="2"/>
      <sheetData sheetId="3">
        <row r="3">
          <cell r="B3" t="e">
            <v>#N/A</v>
          </cell>
        </row>
        <row r="16">
          <cell r="M16" t="str">
            <v>Version 5.0</v>
          </cell>
        </row>
        <row r="21">
          <cell r="T21" t="e">
            <v>#N/A</v>
          </cell>
        </row>
      </sheetData>
      <sheetData sheetId="4"/>
      <sheetData sheetId="5"/>
      <sheetData sheetId="6"/>
      <sheetData sheetId="7"/>
      <sheetData sheetId="8"/>
      <sheetData sheetId="9"/>
      <sheetData sheetId="10"/>
      <sheetData sheetId="11"/>
      <sheetData sheetId="12"/>
      <sheetData sheetId="13">
        <row r="29">
          <cell r="I29" t="e">
            <v>#N/A</v>
          </cell>
        </row>
      </sheetData>
      <sheetData sheetId="14"/>
      <sheetData sheetId="15"/>
      <sheetData sheetId="16"/>
      <sheetData sheetId="17"/>
      <sheetData sheetId="18"/>
      <sheetData sheetId="19">
        <row r="29">
          <cell r="G29" t="e">
            <v>#N/A</v>
          </cell>
        </row>
      </sheetData>
      <sheetData sheetId="20"/>
      <sheetData sheetId="21"/>
      <sheetData sheetId="22"/>
      <sheetData sheetId="23"/>
      <sheetData sheetId="24"/>
      <sheetData sheetId="25"/>
      <sheetData sheetId="26">
        <row r="23">
          <cell r="F23" t="e">
            <v>#N/A</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23">
          <cell r="T23" t="e">
            <v>#N/A</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LEA profile"/>
      <sheetName val="02-03 UCs"/>
      <sheetName val="02-03 historic data"/>
      <sheetName val="02-03 actual ssa"/>
      <sheetName val="02-03 adj. baseline"/>
      <sheetName val="02-03-04 Pupil # by LEA profile"/>
      <sheetName val="03-04 HCP pupils"/>
      <sheetName val="03-04 Pupil nos"/>
      <sheetName val="03-04 LEA pupils"/>
      <sheetName val="03-04 Y&amp;C popn"/>
      <sheetName val="03-04 Sparsity"/>
      <sheetName val="03-04 ACA"/>
      <sheetName val="03-04 Raw AEN data"/>
      <sheetName val="03-04 AEN FSM adj &amp; wgts"/>
      <sheetName val="03-04 AEN indices"/>
      <sheetName val="03-04 Control totals"/>
      <sheetName val="03-04 Pensions transfer"/>
      <sheetName val="03-04 Unit costs"/>
      <sheetName val="03-04 Main calcs"/>
      <sheetName val="03-04 summary-predamping  "/>
      <sheetName val="03-04 predamped breakdown"/>
      <sheetName val="03-04 damping"/>
      <sheetName val="03-04 summary-postdamping "/>
      <sheetName val="03-04 LEA damping breakdown"/>
      <sheetName val="03-04 post damping breakdown"/>
      <sheetName val="Comparison 03-04 vs 02-03"/>
      <sheetName val="Time series comparisons"/>
      <sheetName val="Comp.chart"/>
      <sheetName val="03-04 alternative presentation"/>
      <sheetName val="Forecasts"/>
      <sheetName val="Final settlement rounding"/>
      <sheetName val="Parameters"/>
      <sheetName val="Data sources"/>
      <sheetName val="V2-03-04 predamped breakdown "/>
      <sheetName val="Info_sheet"/>
      <sheetName val="LEA_profile"/>
      <sheetName val="02-03_UCs"/>
      <sheetName val="02-03_historic_data"/>
      <sheetName val="02-03_actual_ssa"/>
      <sheetName val="02-03_adj__baseline"/>
      <sheetName val="02-03-04_Pupil_#_by_LEA_profile"/>
      <sheetName val="03-04_HCP_pupils"/>
      <sheetName val="03-04_Pupil_nos"/>
      <sheetName val="03-04_LEA_pupils"/>
      <sheetName val="03-04_Y&amp;C_popn"/>
      <sheetName val="03-04_Sparsity"/>
      <sheetName val="03-04_ACA"/>
      <sheetName val="03-04_Raw_AEN_data"/>
      <sheetName val="03-04_AEN_FSM_adj_&amp;_wgts"/>
      <sheetName val="03-04_AEN_indices"/>
      <sheetName val="03-04_Control_totals"/>
      <sheetName val="03-04_Pensions_transfer"/>
      <sheetName val="03-04_Unit_costs"/>
      <sheetName val="03-04_Main_calcs"/>
      <sheetName val="03-04_summary-predamping__"/>
      <sheetName val="03-04_predamped_breakdown"/>
      <sheetName val="03-04_damping"/>
      <sheetName val="03-04_summary-postdamping_"/>
      <sheetName val="03-04_LEA_damping_breakdown"/>
      <sheetName val="03-04_post_damping_breakdown"/>
      <sheetName val="Comparison_03-04_vs_02-03"/>
      <sheetName val="Time_series_comparisons"/>
      <sheetName val="Comp_chart"/>
      <sheetName val="03-04_alternative_presentation"/>
      <sheetName val="Final_settlement_rounding"/>
      <sheetName val="Data_sources"/>
      <sheetName val="V2-03-04_predamped_breakdown_"/>
      <sheetName val="Info_sheet1"/>
      <sheetName val="LEA_profile1"/>
      <sheetName val="02-03_UCs1"/>
      <sheetName val="02-03_historic_data1"/>
      <sheetName val="02-03_actual_ssa1"/>
      <sheetName val="02-03_adj__baseline1"/>
      <sheetName val="02-03-04_Pupil_#_by_LEA_profil1"/>
      <sheetName val="03-04_HCP_pupils1"/>
      <sheetName val="03-04_Pupil_nos1"/>
      <sheetName val="03-04_LEA_pupils1"/>
      <sheetName val="03-04_Y&amp;C_popn1"/>
      <sheetName val="03-04_Sparsity1"/>
      <sheetName val="03-04_ACA1"/>
      <sheetName val="03-04_Raw_AEN_data1"/>
      <sheetName val="03-04_AEN_FSM_adj_&amp;_wgts1"/>
      <sheetName val="03-04_AEN_indices1"/>
      <sheetName val="03-04_Control_totals1"/>
      <sheetName val="03-04_Pensions_transfer1"/>
      <sheetName val="03-04_Unit_costs1"/>
      <sheetName val="03-04_Main_calcs1"/>
      <sheetName val="03-04_summary-predamping__1"/>
      <sheetName val="03-04_predamped_breakdown1"/>
      <sheetName val="03-04_damping1"/>
      <sheetName val="03-04_summary-postdamping_1"/>
      <sheetName val="03-04_LEA_damping_breakdown1"/>
      <sheetName val="03-04_post_damping_breakdown1"/>
      <sheetName val="Comparison_03-04_vs_02-031"/>
      <sheetName val="Time_series_comparisons1"/>
      <sheetName val="Comp_chart1"/>
      <sheetName val="03-04_alternative_presentation1"/>
      <sheetName val="Final_settlement_rounding1"/>
      <sheetName val="Data_sources1"/>
      <sheetName val="V2-03-04_predamped_breakdown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
          <cell r="E4">
            <v>3.5</v>
          </cell>
          <cell r="G4">
            <v>3.5</v>
          </cell>
        </row>
      </sheetData>
      <sheetData sheetId="12" refreshError="1"/>
      <sheetData sheetId="13" refreshError="1"/>
      <sheetData sheetId="14" refreshError="1"/>
      <sheetData sheetId="15" refreshError="1"/>
      <sheetData sheetId="16" refreshError="1"/>
      <sheetData sheetId="17" refreshError="1"/>
      <sheetData sheetId="18" refreshError="1">
        <row r="7">
          <cell r="D7">
            <v>1.0349999999999999</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ow r="4">
          <cell r="E4">
            <v>3.5</v>
          </cell>
        </row>
      </sheetData>
      <sheetData sheetId="47"/>
      <sheetData sheetId="48"/>
      <sheetData sheetId="49"/>
      <sheetData sheetId="50"/>
      <sheetData sheetId="51"/>
      <sheetData sheetId="52"/>
      <sheetData sheetId="53">
        <row r="7">
          <cell r="D7">
            <v>1.0349999999999999</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4">
          <cell r="E4">
            <v>3.5</v>
          </cell>
        </row>
      </sheetData>
      <sheetData sheetId="80"/>
      <sheetData sheetId="81"/>
      <sheetData sheetId="82"/>
      <sheetData sheetId="83"/>
      <sheetData sheetId="84"/>
      <sheetData sheetId="85"/>
      <sheetData sheetId="86">
        <row r="7">
          <cell r="D7">
            <v>1.0349999999999999</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Table3"/>
      <sheetName val="T3 Comparison with last year"/>
      <sheetName val="Fudges"/>
      <sheetName val="Summary of Expenditure"/>
      <sheetName val="Summary of Checks"/>
      <sheetName val="Nursery"/>
      <sheetName val="Primary"/>
      <sheetName val="Secondary"/>
      <sheetName val="Special"/>
      <sheetName val="Pupil Support"/>
      <sheetName val="Ind. School Fees"/>
      <sheetName val="Teacher Dev."/>
      <sheetName val="Meals and Milk (Other Schools)"/>
      <sheetName val="Schools Transport"/>
      <sheetName val="Other Support Services"/>
      <sheetName val="Other Schools Summary"/>
      <sheetName val="Adult Education"/>
      <sheetName val="Youth Service"/>
      <sheetName val="Discretionary Awards"/>
      <sheetName val="Other Transport"/>
      <sheetName val="Other FE Sector Summary"/>
      <sheetName val="Central Administartion"/>
      <sheetName val="Other Community Services"/>
      <sheetName val="Other Education Sector Summary"/>
      <sheetName val="PRC"/>
      <sheetName val="Removing Milk"/>
      <sheetName val="Split Under Fives from Primary"/>
      <sheetName val="Split Under Fives PVI"/>
      <sheetName val="NEG for PVI Split"/>
      <sheetName val="EMA Split"/>
      <sheetName val="TALL3"/>
      <sheetName val="TALL8"/>
      <sheetName val="Proportions"/>
      <sheetName val="Tallies Summary"/>
      <sheetName val="File_details"/>
      <sheetName val="T3_Comparison_with_last_year"/>
      <sheetName val="Summary_of_Expenditure"/>
      <sheetName val="Summary_of_Checks"/>
      <sheetName val="Pupil_Support"/>
      <sheetName val="Ind__School_Fees"/>
      <sheetName val="Teacher_Dev_"/>
      <sheetName val="Meals_and_Milk_(Other_Schools)"/>
      <sheetName val="Schools_Transport"/>
      <sheetName val="Other_Support_Services"/>
      <sheetName val="Other_Schools_Summary"/>
      <sheetName val="Adult_Education"/>
      <sheetName val="Youth_Service"/>
      <sheetName val="Discretionary_Awards"/>
      <sheetName val="Other_Transport"/>
      <sheetName val="Other_FE_Sector_Summary"/>
      <sheetName val="Central_Administartion"/>
      <sheetName val="Other_Community_Services"/>
      <sheetName val="Other_Education_Sector_Summary"/>
      <sheetName val="Removing_Milk"/>
      <sheetName val="Split_Under_Fives_from_Primary"/>
      <sheetName val="Split_Under_Fives_PVI"/>
      <sheetName val="NEG_for_PVI_Split"/>
      <sheetName val="EMA_Split"/>
      <sheetName val="Tallies_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over"/>
      <sheetName val="B) 12-13 Baselines"/>
      <sheetName val="C) Factors"/>
      <sheetName val="D) New ISB"/>
      <sheetName val="E) Local Factors"/>
      <sheetName val="F) New Delegation Control"/>
      <sheetName val="G) De Delegation"/>
      <sheetName val="Look Up"/>
      <sheetName val="H) Commentary"/>
      <sheetName val="I) Proforma"/>
      <sheetName val="New delegation by school"/>
      <sheetName val="ISB summary by school"/>
      <sheetName val="Adjusted Factors"/>
      <sheetName val="A)_Cover"/>
      <sheetName val="B)_12-13_Baselines"/>
      <sheetName val="C)_Factors"/>
      <sheetName val="D)_New_ISB"/>
      <sheetName val="E)_Local_Factors"/>
      <sheetName val="F)_New_Delegation_Control"/>
      <sheetName val="G)_De_Delegation"/>
      <sheetName val="Look_Up"/>
      <sheetName val="H)_Commentary"/>
      <sheetName val="I)_Proforma"/>
      <sheetName val="New_delegation_by_school"/>
      <sheetName val="ISB_summary_by_school"/>
      <sheetName val="Adjusted_Factors"/>
    </sheetNames>
    <sheetDataSet>
      <sheetData sheetId="0"/>
      <sheetData sheetId="1">
        <row r="4">
          <cell r="A4">
            <v>101257</v>
          </cell>
        </row>
      </sheetData>
      <sheetData sheetId="2">
        <row r="4">
          <cell r="F4">
            <v>1</v>
          </cell>
        </row>
      </sheetData>
      <sheetData sheetId="3"/>
      <sheetData sheetId="4">
        <row r="4">
          <cell r="E4">
            <v>0</v>
          </cell>
        </row>
      </sheetData>
      <sheetData sheetId="5"/>
      <sheetData sheetId="6"/>
      <sheetData sheetId="7"/>
      <sheetData sheetId="8"/>
      <sheetData sheetId="9">
        <row r="59">
          <cell r="C59">
            <v>1.4999999999999999E-2</v>
          </cell>
        </row>
      </sheetData>
      <sheetData sheetId="10"/>
      <sheetData sheetId="11"/>
      <sheetData sheetId="12">
        <row r="4">
          <cell r="D4">
            <v>374</v>
          </cell>
        </row>
      </sheetData>
      <sheetData sheetId="13"/>
      <sheetData sheetId="14">
        <row r="4">
          <cell r="A4">
            <v>101257</v>
          </cell>
        </row>
      </sheetData>
      <sheetData sheetId="15">
        <row r="4">
          <cell r="F4">
            <v>1</v>
          </cell>
        </row>
      </sheetData>
      <sheetData sheetId="16"/>
      <sheetData sheetId="17">
        <row r="4">
          <cell r="E4">
            <v>0</v>
          </cell>
        </row>
      </sheetData>
      <sheetData sheetId="18"/>
      <sheetData sheetId="19"/>
      <sheetData sheetId="20"/>
      <sheetData sheetId="21"/>
      <sheetData sheetId="22">
        <row r="59">
          <cell r="C59">
            <v>1.4999999999999999E-2</v>
          </cell>
        </row>
      </sheetData>
      <sheetData sheetId="23"/>
      <sheetData sheetId="24"/>
      <sheetData sheetId="25">
        <row r="4">
          <cell r="D4">
            <v>374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Input Data"/>
      <sheetName val="12-13 LA Table"/>
      <sheetName val="12-13 Table 4"/>
      <sheetName val="12-13 Baselines"/>
      <sheetName val="Local Factors"/>
      <sheetName val="Factors"/>
      <sheetName val="New Delegation Control"/>
      <sheetName val="Control Sheet"/>
      <sheetName val="New ISB"/>
      <sheetName val="De Delegation"/>
      <sheetName val="Summary Data"/>
      <sheetName val="Pro Forma"/>
      <sheetName val="Pro Forma Commentary"/>
      <sheetName val="Look Up"/>
      <sheetName val="Chart_Data"/>
      <sheetName val="References"/>
      <sheetName val="YearGroups prov"/>
      <sheetName val="Version_Control"/>
      <sheetName val="Input_Data"/>
      <sheetName val="12-13_LA_Table"/>
      <sheetName val="12-13_Table_4"/>
      <sheetName val="12-13_Baselines"/>
      <sheetName val="Local_Factors"/>
      <sheetName val="New_Delegation_Control"/>
      <sheetName val="Control_Sheet"/>
      <sheetName val="New_ISB"/>
      <sheetName val="De_Delegation"/>
      <sheetName val="Summary_Data"/>
      <sheetName val="Pro_Forma"/>
      <sheetName val="Pro_Forma_Commentary"/>
      <sheetName val="Look_Up"/>
      <sheetName val="YearGroups_prov"/>
    </sheetNames>
    <sheetDataSet>
      <sheetData sheetId="0"/>
      <sheetData sheetId="1"/>
      <sheetData sheetId="2"/>
      <sheetData sheetId="3"/>
      <sheetData sheetId="4"/>
      <sheetData sheetId="5">
        <row r="1">
          <cell r="K1" t="str">
            <v>12-13 Adjusted SBS</v>
          </cell>
        </row>
      </sheetData>
      <sheetData sheetId="6">
        <row r="1">
          <cell r="A1" t="str">
            <v>URN</v>
          </cell>
        </row>
      </sheetData>
      <sheetData sheetId="7">
        <row r="2">
          <cell r="A2" t="str">
            <v>URN</v>
          </cell>
        </row>
        <row r="3">
          <cell r="A3">
            <v>3022000</v>
          </cell>
        </row>
        <row r="4">
          <cell r="A4">
            <v>3022002</v>
          </cell>
        </row>
        <row r="5">
          <cell r="A5">
            <v>3022003</v>
          </cell>
        </row>
        <row r="6">
          <cell r="A6">
            <v>3022007</v>
          </cell>
        </row>
        <row r="7">
          <cell r="A7">
            <v>3022008</v>
          </cell>
        </row>
        <row r="8">
          <cell r="A8">
            <v>3022009</v>
          </cell>
        </row>
        <row r="9">
          <cell r="A9">
            <v>3022010</v>
          </cell>
        </row>
        <row r="10">
          <cell r="A10">
            <v>3022011</v>
          </cell>
        </row>
        <row r="11">
          <cell r="A11">
            <v>3022014</v>
          </cell>
        </row>
        <row r="12">
          <cell r="A12">
            <v>3022015</v>
          </cell>
        </row>
        <row r="13">
          <cell r="A13">
            <v>3022016</v>
          </cell>
        </row>
        <row r="14">
          <cell r="A14">
            <v>3022017</v>
          </cell>
        </row>
        <row r="15">
          <cell r="A15">
            <v>3022018</v>
          </cell>
        </row>
        <row r="16">
          <cell r="A16">
            <v>3022019</v>
          </cell>
        </row>
        <row r="17">
          <cell r="A17">
            <v>3022021</v>
          </cell>
        </row>
        <row r="18">
          <cell r="A18">
            <v>3022022</v>
          </cell>
        </row>
        <row r="19">
          <cell r="A19">
            <v>3022023</v>
          </cell>
        </row>
        <row r="20">
          <cell r="A20">
            <v>3022024</v>
          </cell>
        </row>
        <row r="21">
          <cell r="A21">
            <v>3022025</v>
          </cell>
        </row>
        <row r="22">
          <cell r="A22">
            <v>3022026</v>
          </cell>
        </row>
        <row r="23">
          <cell r="A23">
            <v>3022027</v>
          </cell>
        </row>
        <row r="24">
          <cell r="A24">
            <v>3022028</v>
          </cell>
        </row>
        <row r="25">
          <cell r="A25">
            <v>3022029</v>
          </cell>
        </row>
        <row r="26">
          <cell r="A26">
            <v>3022030</v>
          </cell>
        </row>
        <row r="27">
          <cell r="A27">
            <v>3022031</v>
          </cell>
        </row>
        <row r="28">
          <cell r="A28">
            <v>3022032</v>
          </cell>
        </row>
        <row r="29">
          <cell r="A29">
            <v>3022036</v>
          </cell>
        </row>
        <row r="30">
          <cell r="A30">
            <v>3022037</v>
          </cell>
        </row>
        <row r="31">
          <cell r="A31">
            <v>3022042</v>
          </cell>
        </row>
        <row r="32">
          <cell r="A32">
            <v>3022043</v>
          </cell>
        </row>
        <row r="33">
          <cell r="A33">
            <v>3022044</v>
          </cell>
        </row>
        <row r="34">
          <cell r="A34">
            <v>3022045</v>
          </cell>
        </row>
        <row r="35">
          <cell r="A35">
            <v>3022052</v>
          </cell>
        </row>
        <row r="36">
          <cell r="A36">
            <v>3022054</v>
          </cell>
        </row>
        <row r="37">
          <cell r="A37">
            <v>3022055</v>
          </cell>
        </row>
        <row r="38">
          <cell r="A38">
            <v>3022056</v>
          </cell>
        </row>
        <row r="39">
          <cell r="A39">
            <v>3022057</v>
          </cell>
        </row>
        <row r="40">
          <cell r="A40">
            <v>3022060</v>
          </cell>
        </row>
        <row r="41">
          <cell r="A41">
            <v>3022067</v>
          </cell>
        </row>
        <row r="42">
          <cell r="A42">
            <v>3022070</v>
          </cell>
        </row>
        <row r="43">
          <cell r="A43">
            <v>3022071</v>
          </cell>
        </row>
        <row r="44">
          <cell r="A44">
            <v>3022072</v>
          </cell>
        </row>
        <row r="45">
          <cell r="A45">
            <v>3022073</v>
          </cell>
        </row>
        <row r="46">
          <cell r="A46">
            <v>3022074</v>
          </cell>
        </row>
        <row r="47">
          <cell r="A47">
            <v>3022076</v>
          </cell>
        </row>
        <row r="48">
          <cell r="A48">
            <v>3022077</v>
          </cell>
        </row>
        <row r="49">
          <cell r="A49">
            <v>3022078</v>
          </cell>
        </row>
        <row r="50">
          <cell r="A50">
            <v>3022079</v>
          </cell>
        </row>
        <row r="51">
          <cell r="A51">
            <v>3023300</v>
          </cell>
        </row>
        <row r="52">
          <cell r="A52">
            <v>3023302</v>
          </cell>
        </row>
        <row r="53">
          <cell r="A53">
            <v>3023304</v>
          </cell>
        </row>
        <row r="54">
          <cell r="A54">
            <v>3023305</v>
          </cell>
        </row>
        <row r="55">
          <cell r="A55">
            <v>3023307</v>
          </cell>
        </row>
        <row r="56">
          <cell r="A56">
            <v>3023309</v>
          </cell>
        </row>
        <row r="57">
          <cell r="A57">
            <v>3023311</v>
          </cell>
        </row>
        <row r="58">
          <cell r="A58">
            <v>3023312</v>
          </cell>
        </row>
        <row r="59">
          <cell r="A59">
            <v>3023313</v>
          </cell>
        </row>
        <row r="60">
          <cell r="A60">
            <v>3023314</v>
          </cell>
        </row>
        <row r="61">
          <cell r="A61">
            <v>3023315</v>
          </cell>
        </row>
        <row r="62">
          <cell r="A62">
            <v>3023316</v>
          </cell>
        </row>
        <row r="63">
          <cell r="A63">
            <v>3023317</v>
          </cell>
        </row>
        <row r="64">
          <cell r="A64">
            <v>3023500</v>
          </cell>
        </row>
        <row r="65">
          <cell r="A65">
            <v>3023501</v>
          </cell>
        </row>
        <row r="66">
          <cell r="A66">
            <v>3023502</v>
          </cell>
        </row>
        <row r="67">
          <cell r="A67">
            <v>3023504</v>
          </cell>
        </row>
        <row r="68">
          <cell r="A68">
            <v>3023506</v>
          </cell>
        </row>
        <row r="69">
          <cell r="A69">
            <v>3023507</v>
          </cell>
        </row>
        <row r="70">
          <cell r="A70">
            <v>3023508</v>
          </cell>
        </row>
        <row r="71">
          <cell r="A71">
            <v>3023509</v>
          </cell>
        </row>
        <row r="72">
          <cell r="A72">
            <v>3023510</v>
          </cell>
        </row>
        <row r="73">
          <cell r="A73">
            <v>3023511</v>
          </cell>
        </row>
        <row r="74">
          <cell r="A74">
            <v>3023512</v>
          </cell>
        </row>
        <row r="75">
          <cell r="A75">
            <v>3023513</v>
          </cell>
        </row>
        <row r="76">
          <cell r="A76">
            <v>3023514</v>
          </cell>
        </row>
        <row r="77">
          <cell r="A77">
            <v>3023515</v>
          </cell>
        </row>
        <row r="78">
          <cell r="A78">
            <v>3023516</v>
          </cell>
        </row>
        <row r="79">
          <cell r="A79">
            <v>3023518</v>
          </cell>
        </row>
        <row r="80">
          <cell r="A80">
            <v>3023519</v>
          </cell>
        </row>
        <row r="81">
          <cell r="A81">
            <v>3023520</v>
          </cell>
        </row>
        <row r="82">
          <cell r="A82">
            <v>3023521</v>
          </cell>
        </row>
        <row r="83">
          <cell r="A83">
            <v>3023522</v>
          </cell>
        </row>
        <row r="84">
          <cell r="A84">
            <v>3023523</v>
          </cell>
        </row>
        <row r="85">
          <cell r="A85">
            <v>3023524</v>
          </cell>
        </row>
        <row r="86">
          <cell r="A86">
            <v>3025200</v>
          </cell>
        </row>
        <row r="87">
          <cell r="A87">
            <v>3025201</v>
          </cell>
        </row>
        <row r="88">
          <cell r="A88">
            <v>3025948</v>
          </cell>
        </row>
        <row r="89">
          <cell r="A89">
            <v>3025949</v>
          </cell>
        </row>
        <row r="90">
          <cell r="A90">
            <v>3024003</v>
          </cell>
        </row>
        <row r="91">
          <cell r="A91">
            <v>3024009</v>
          </cell>
        </row>
        <row r="92">
          <cell r="A92">
            <v>3024012</v>
          </cell>
        </row>
        <row r="93">
          <cell r="A93">
            <v>3024208</v>
          </cell>
        </row>
        <row r="94">
          <cell r="A94">
            <v>3024210</v>
          </cell>
        </row>
        <row r="95">
          <cell r="A95">
            <v>3024211</v>
          </cell>
        </row>
        <row r="96">
          <cell r="A96">
            <v>3024212</v>
          </cell>
        </row>
        <row r="97">
          <cell r="A97">
            <v>3024215</v>
          </cell>
        </row>
        <row r="98">
          <cell r="A98">
            <v>3024752</v>
          </cell>
        </row>
        <row r="99">
          <cell r="A99">
            <v>3025400</v>
          </cell>
        </row>
        <row r="100">
          <cell r="A100">
            <v>3025401</v>
          </cell>
        </row>
        <row r="101">
          <cell r="A101">
            <v>3025402</v>
          </cell>
        </row>
        <row r="102">
          <cell r="A102">
            <v>3025403</v>
          </cell>
        </row>
        <row r="103">
          <cell r="A103">
            <v>3025404</v>
          </cell>
        </row>
        <row r="104">
          <cell r="A104">
            <v>3025405</v>
          </cell>
        </row>
        <row r="105">
          <cell r="A105">
            <v>3025406</v>
          </cell>
        </row>
        <row r="106">
          <cell r="A106">
            <v>3025407</v>
          </cell>
        </row>
        <row r="107">
          <cell r="A107">
            <v>3025408</v>
          </cell>
        </row>
        <row r="108">
          <cell r="A108">
            <v>3025409</v>
          </cell>
        </row>
        <row r="109">
          <cell r="A109">
            <v>3025427</v>
          </cell>
        </row>
      </sheetData>
      <sheetData sheetId="8"/>
      <sheetData sheetId="9">
        <row r="4">
          <cell r="K4">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K1" t="str">
            <v>12-13 Adjusted SBS</v>
          </cell>
        </row>
      </sheetData>
      <sheetData sheetId="24">
        <row r="1">
          <cell r="A1" t="str">
            <v>URN</v>
          </cell>
        </row>
      </sheetData>
      <sheetData sheetId="25"/>
      <sheetData sheetId="26">
        <row r="4">
          <cell r="K4">
            <v>1</v>
          </cell>
        </row>
      </sheetData>
      <sheetData sheetId="27"/>
      <sheetData sheetId="28"/>
      <sheetData sheetId="29"/>
      <sheetData sheetId="30"/>
      <sheetData sheetId="31"/>
      <sheetData sheetId="32"/>
      <sheetData sheetId="3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Overview"/>
      <sheetName val="Guidance"/>
      <sheetName val="Classifications"/>
      <sheetName val="A"/>
      <sheetName val="B1"/>
      <sheetName val="B2"/>
      <sheetName val="Submit"/>
      <sheetName val="Members"/>
      <sheetName val="data"/>
    </sheetNames>
    <sheetDataSet>
      <sheetData sheetId="0"/>
      <sheetData sheetId="1"/>
      <sheetData sheetId="2"/>
      <sheetData sheetId="3" refreshError="1">
        <row r="19">
          <cell r="O19" t="str">
            <v>..</v>
          </cell>
        </row>
        <row r="20">
          <cell r="O20" t="str">
            <v>..</v>
          </cell>
        </row>
        <row r="21">
          <cell r="O21" t="str">
            <v>..</v>
          </cell>
        </row>
        <row r="22">
          <cell r="O22" t="str">
            <v>..</v>
          </cell>
        </row>
        <row r="26">
          <cell r="O26" t="str">
            <v>..</v>
          </cell>
        </row>
        <row r="30">
          <cell r="O30" t="str">
            <v>..</v>
          </cell>
        </row>
        <row r="31">
          <cell r="O31" t="str">
            <v>..</v>
          </cell>
        </row>
        <row r="35">
          <cell r="O35" t="str">
            <v>..</v>
          </cell>
        </row>
        <row r="36">
          <cell r="O36" t="str">
            <v>..</v>
          </cell>
        </row>
        <row r="37">
          <cell r="O37" t="str">
            <v>..</v>
          </cell>
        </row>
        <row r="38">
          <cell r="O38" t="str">
            <v>..</v>
          </cell>
        </row>
      </sheetData>
      <sheetData sheetId="4"/>
      <sheetData sheetId="5"/>
      <sheetData sheetId="6"/>
      <sheetData sheetId="7" refreshError="1">
        <row r="18">
          <cell r="F18" t="str">
            <v>Barnet</v>
          </cell>
        </row>
        <row r="39">
          <cell r="D39" t="str">
            <v>{ Select }</v>
          </cell>
        </row>
        <row r="40">
          <cell r="D40">
            <v>0</v>
          </cell>
        </row>
        <row r="41">
          <cell r="D41">
            <v>1</v>
          </cell>
        </row>
        <row r="42">
          <cell r="D42">
            <v>2</v>
          </cell>
        </row>
        <row r="43">
          <cell r="D43">
            <v>3</v>
          </cell>
        </row>
        <row r="44">
          <cell r="D44">
            <v>4</v>
          </cell>
        </row>
        <row r="45">
          <cell r="D45">
            <v>5</v>
          </cell>
        </row>
        <row r="46">
          <cell r="D46">
            <v>6</v>
          </cell>
        </row>
        <row r="47">
          <cell r="D47">
            <v>7</v>
          </cell>
        </row>
        <row r="50">
          <cell r="D50" t="str">
            <v>{ Select }</v>
          </cell>
        </row>
        <row r="51">
          <cell r="D51">
            <v>38</v>
          </cell>
        </row>
        <row r="52">
          <cell r="D52">
            <v>52</v>
          </cell>
        </row>
        <row r="53">
          <cell r="D53" t="str">
            <v>Other (Overwrite)</v>
          </cell>
        </row>
        <row r="56">
          <cell r="D56" t="str">
            <v>{ Select }</v>
          </cell>
        </row>
        <row r="57">
          <cell r="D57" t="str">
            <v>SpLD</v>
          </cell>
        </row>
        <row r="58">
          <cell r="D58" t="str">
            <v>MLD</v>
          </cell>
        </row>
        <row r="59">
          <cell r="D59" t="str">
            <v>SLD</v>
          </cell>
        </row>
        <row r="60">
          <cell r="D60" t="str">
            <v>PMLD</v>
          </cell>
        </row>
        <row r="61">
          <cell r="D61" t="str">
            <v>BESD</v>
          </cell>
        </row>
        <row r="62">
          <cell r="D62" t="str">
            <v>SLCN</v>
          </cell>
        </row>
        <row r="63">
          <cell r="D63" t="str">
            <v>ASD</v>
          </cell>
        </row>
        <row r="64">
          <cell r="D64" t="str">
            <v>VI</v>
          </cell>
        </row>
        <row r="65">
          <cell r="D65" t="str">
            <v>HI</v>
          </cell>
        </row>
        <row r="66">
          <cell r="D66" t="str">
            <v>MSI</v>
          </cell>
        </row>
        <row r="67">
          <cell r="D67" t="str">
            <v>PD</v>
          </cell>
        </row>
        <row r="68">
          <cell r="D68" t="str">
            <v>Other</v>
          </cell>
        </row>
        <row r="69">
          <cell r="D69" t="str">
            <v>Unknown</v>
          </cell>
        </row>
        <row r="72">
          <cell r="D72" t="str">
            <v>{ Select }</v>
          </cell>
        </row>
        <row r="73">
          <cell r="D73" t="str">
            <v>Male</v>
          </cell>
        </row>
        <row r="74">
          <cell r="D74" t="str">
            <v>Female</v>
          </cell>
        </row>
        <row r="89">
          <cell r="F89" t="str">
            <v>Special Educational Needs</v>
          </cell>
        </row>
      </sheetData>
      <sheetData sheetId="8"/>
      <sheetData sheetId="9" refreshError="1">
        <row r="2">
          <cell r="B2">
            <v>2013</v>
          </cell>
        </row>
        <row r="3">
          <cell r="B3" t="str">
            <v>11th October</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rol Total"/>
      <sheetName val="Forward plan"/>
      <sheetName val="Control 2010-11"/>
      <sheetName val="Post Budget Headlines"/>
      <sheetName val="Service Summary - Appendix B"/>
      <sheetName val="CTax Summary"/>
      <sheetName val="Adults Fwd Plan"/>
      <sheetName val="Adults Fwd Plan (cld)"/>
      <sheetName val="Adults Combined"/>
      <sheetName val="Adults Detail"/>
      <sheetName val="Adults Subjective"/>
      <sheetName val="CentExp Fwd Plan"/>
      <sheetName val="CentExp Comb New"/>
      <sheetName val="CentExp Combined"/>
      <sheetName val="CentExp Detail"/>
      <sheetName val="CentExp Subjective"/>
      <sheetName val="CentExp Levies"/>
      <sheetName val="CE &amp; Strategy Fwd Plan"/>
      <sheetName val="Chief Exes Fwd Plan"/>
      <sheetName val="Children Fwd Plan"/>
      <sheetName val="CE Combined"/>
      <sheetName val="CE detail"/>
      <sheetName val="CE subjective"/>
      <sheetName val="Children Fwd Plan (cld)"/>
      <sheetName val="Corp Governance Fwd Plan"/>
      <sheetName val="Childrens Detail"/>
      <sheetName val="Childrens Subjective"/>
      <sheetName val="Commerical Services (cld)"/>
      <sheetName val="Commercial Combined"/>
      <sheetName val="Commercial Detail"/>
      <sheetName val="Commercial subjective"/>
      <sheetName val="Corp Governance Fwd Plan (cld)"/>
      <sheetName val="E&amp;O Fwd Plan"/>
      <sheetName val="Special Parking Account"/>
      <sheetName val="HRA FWD Plan"/>
      <sheetName val="Corp Gov Combined"/>
      <sheetName val="Corp Gov detail"/>
      <sheetName val="Corp Gov Subjective"/>
      <sheetName val="Deputy Chief Execs"/>
      <sheetName val="DCE Combined"/>
      <sheetName val="DCE detail"/>
      <sheetName val="DCE Subjective"/>
      <sheetName val="E&amp;O Fwd Plan (cld)"/>
      <sheetName val="SPA 2010-11"/>
      <sheetName val="E&amp;O Combined"/>
      <sheetName val="E&amp;O Revenue by cost centre"/>
      <sheetName val="E&amp;O Revenue by subjective"/>
      <sheetName val="SPA"/>
      <sheetName val="SPA Detail"/>
      <sheetName val="Planning, Housing &amp; Regen(cld)"/>
      <sheetName val="Commerical Services"/>
      <sheetName val="PHR Combined"/>
      <sheetName val="PHR Revenue GF"/>
      <sheetName val="PHR by subjective"/>
      <sheetName val="Corporate Service &amp; Finance"/>
      <sheetName val="Finance"/>
      <sheetName val="Corporate Services"/>
      <sheetName val="HRA"/>
      <sheetName val="Resources Fwd Plan"/>
      <sheetName val="Control_Total"/>
      <sheetName val="Forward_plan"/>
      <sheetName val="Control_2010-11"/>
      <sheetName val="Post_Budget_Headlines"/>
      <sheetName val="Service_Summary_-_Appendix_B"/>
      <sheetName val="CTax_Summary"/>
      <sheetName val="Adults_Fwd_Plan"/>
      <sheetName val="Adults_Fwd_Plan_(cld)"/>
      <sheetName val="Adults_Combined"/>
      <sheetName val="Adults_Detail"/>
      <sheetName val="Adults_Subjective"/>
      <sheetName val="CentExp_Fwd_Plan"/>
      <sheetName val="CentExp_Comb_New"/>
      <sheetName val="CentExp_Combined"/>
      <sheetName val="CentExp_Detail"/>
      <sheetName val="CentExp_Subjective"/>
      <sheetName val="CentExp_Levies"/>
      <sheetName val="CE_&amp;_Strategy_Fwd_Plan"/>
      <sheetName val="Chief_Exes_Fwd_Plan"/>
      <sheetName val="Children_Fwd_Plan"/>
      <sheetName val="CE_Combined"/>
      <sheetName val="CE_detail"/>
      <sheetName val="CE_subjective"/>
      <sheetName val="Children_Fwd_Plan_(cld)"/>
      <sheetName val="Corp_Governance_Fwd_Plan"/>
      <sheetName val="Childrens_Detail"/>
      <sheetName val="Childrens_Subjective"/>
      <sheetName val="Commerical_Services_(cld)"/>
      <sheetName val="Commercial_Combined"/>
      <sheetName val="Commercial_Detail"/>
      <sheetName val="Commercial_subjective"/>
      <sheetName val="Corp_Governance_Fwd_Plan_(cld)"/>
      <sheetName val="E&amp;O_Fwd_Plan"/>
      <sheetName val="Special_Parking_Account"/>
      <sheetName val="HRA_FWD_Plan"/>
      <sheetName val="Corp_Gov_Combined"/>
      <sheetName val="Corp_Gov_detail"/>
      <sheetName val="Corp_Gov_Subjective"/>
      <sheetName val="Deputy_Chief_Execs"/>
      <sheetName val="DCE_Combined"/>
      <sheetName val="DCE_detail"/>
      <sheetName val="DCE_Subjective"/>
      <sheetName val="E&amp;O_Fwd_Plan_(cld)"/>
      <sheetName val="SPA_2010-11"/>
      <sheetName val="E&amp;O_Combined"/>
      <sheetName val="E&amp;O_Revenue_by_cost_centre"/>
      <sheetName val="E&amp;O_Revenue_by_subjective"/>
      <sheetName val="SPA_Detail"/>
      <sheetName val="Planning,_Housing_&amp;_Regen(cld)"/>
      <sheetName val="Commerical_Services"/>
      <sheetName val="PHR_Combined"/>
      <sheetName val="PHR_Revenue_GF"/>
      <sheetName val="PHR_by_subjective"/>
      <sheetName val="Corporate_Service_&amp;_Finance"/>
      <sheetName val="Corporate_Services"/>
      <sheetName val="Resources_Fwd_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ersion control"/>
      <sheetName val="Policy_decisions"/>
      <sheetName val="FSM_Ever6_School_level"/>
      <sheetName val="Service_children_School_level"/>
      <sheetName val="Post_LAC_School_level"/>
      <sheetName val="LAC_LA_level"/>
      <sheetName val="FSM, SC &amp; Post-LAC LA_level AP"/>
      <sheetName val="September Academies Summariser"/>
      <sheetName val="New &amp; growing"/>
      <sheetName val="Academy allocations"/>
      <sheetName val="LA Allocations"/>
      <sheetName val="LA LEVELCHECKS"/>
      <sheetName val="Version_control"/>
      <sheetName val="FSM,_SC_&amp;_Post-LAC_LA_level_AP"/>
      <sheetName val="September_Academies_Summariser"/>
      <sheetName val="New_&amp;_growing"/>
      <sheetName val="Academy_allocations"/>
      <sheetName val="LA_Allocations"/>
      <sheetName val="LA_LEVELCHECKS"/>
    </sheetNames>
    <sheetDataSet>
      <sheetData sheetId="0" refreshError="1"/>
      <sheetData sheetId="1" refreshError="1"/>
      <sheetData sheetId="2">
        <row r="4">
          <cell r="C4">
            <v>1300</v>
          </cell>
          <cell r="H4">
            <v>41757</v>
          </cell>
          <cell r="I4">
            <v>1</v>
          </cell>
        </row>
        <row r="5">
          <cell r="C5">
            <v>935</v>
          </cell>
          <cell r="H5">
            <v>41883</v>
          </cell>
          <cell r="I5">
            <v>0.58333333333333337</v>
          </cell>
          <cell r="J5">
            <v>0.41666666666666669</v>
          </cell>
        </row>
        <row r="6">
          <cell r="C6">
            <v>1900</v>
          </cell>
          <cell r="H6">
            <v>42009</v>
          </cell>
          <cell r="I6">
            <v>0.25</v>
          </cell>
          <cell r="J6">
            <v>0.75</v>
          </cell>
        </row>
        <row r="7">
          <cell r="C7">
            <v>1900</v>
          </cell>
        </row>
        <row r="8">
          <cell r="C8">
            <v>300</v>
          </cell>
        </row>
        <row r="11">
          <cell r="F11">
            <v>0.58333333333333337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D5">
            <v>203321.875</v>
          </cell>
        </row>
      </sheetData>
      <sheetData sheetId="13"/>
      <sheetData sheetId="14"/>
      <sheetData sheetId="15"/>
      <sheetData sheetId="16"/>
      <sheetData sheetId="17"/>
      <sheetData sheetId="18"/>
      <sheetData sheetId="19">
        <row r="5">
          <cell r="D5">
            <v>203321.875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mmentary"/>
      <sheetName val="Diary"/>
      <sheetName val="weekly"/>
      <sheetName val="monthly"/>
      <sheetName val="extremes"/>
      <sheetName val="correction"/>
      <sheetName val="Chart1"/>
      <sheetName val="estimates versus actuals"/>
      <sheetName val="quarterly"/>
      <sheetName val="estimation"/>
      <sheetName val="quarterly accuracy"/>
      <sheetName val="annually"/>
      <sheetName val="occurrences -long term+feathers"/>
      <sheetName val="occurrences - long term A4"/>
      <sheetName val="occurrences- recent &amp; projected"/>
      <sheetName val="Comparison-Pop Trends"/>
      <sheetName val="estimates_versus_actuals"/>
      <sheetName val="quarterly_accuracy"/>
      <sheetName val="occurrences_-long_term+feathers"/>
      <sheetName val="occurrences_-_long_term_A4"/>
      <sheetName val="occurrences-_recent_&amp;_projected"/>
      <sheetName val="Comparison-Pop_Trends"/>
      <sheetName val="Trend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Summary"/>
      <sheetName val="AdjustScaling"/>
      <sheetName val="UnitValues"/>
      <sheetName val="SchoolCalcs_1617"/>
      <sheetName val="LA_Calcs_1617"/>
      <sheetName val="SchoolCalcs_1718"/>
      <sheetName val="LA_Calcs_1718"/>
      <sheetName val="SchoolCalcs_1819"/>
      <sheetName val="LA_Calcs_1819"/>
      <sheetName val="SchoolCalcs_1920"/>
      <sheetName val="LA_Calcs_1920"/>
      <sheetName val="SQLview"/>
      <sheetName val="ACA_District"/>
      <sheetName val="PupilProjections"/>
      <sheetName val="2015-16 DSG"/>
      <sheetName val="DualRun_pre-election policy cos"/>
      <sheetName val="2015-16_DSG"/>
      <sheetName val="DualRun_pre-election_policy_cos"/>
    </sheetNames>
    <sheetDataSet>
      <sheetData sheetId="0"/>
      <sheetData sheetId="1"/>
      <sheetData sheetId="2"/>
      <sheetData sheetId="3"/>
      <sheetData sheetId="4">
        <row r="8">
          <cell r="E8">
            <v>2935.2121885311763</v>
          </cell>
        </row>
        <row r="9">
          <cell r="E9">
            <v>4041.6607900289368</v>
          </cell>
        </row>
        <row r="10">
          <cell r="E10">
            <v>4586.5682747386672</v>
          </cell>
        </row>
        <row r="11">
          <cell r="E11">
            <v>866.60613549574293</v>
          </cell>
        </row>
        <row r="12">
          <cell r="E12">
            <v>1025.0204163536969</v>
          </cell>
        </row>
        <row r="13">
          <cell r="E13">
            <v>204.49304969497641</v>
          </cell>
        </row>
        <row r="14">
          <cell r="E14">
            <v>286.76112777647535</v>
          </cell>
        </row>
        <row r="15">
          <cell r="E15">
            <v>257.46788685221463</v>
          </cell>
        </row>
        <row r="16">
          <cell r="E16">
            <v>376.58542809784342</v>
          </cell>
        </row>
        <row r="17">
          <cell r="E17">
            <v>341.6712365140848</v>
          </cell>
        </row>
        <row r="18">
          <cell r="E18">
            <v>458.97282258406381</v>
          </cell>
        </row>
        <row r="19">
          <cell r="E19">
            <v>415.06494296488478</v>
          </cell>
        </row>
        <row r="20">
          <cell r="E20">
            <v>534.67401870956246</v>
          </cell>
        </row>
        <row r="21">
          <cell r="E21">
            <v>470.57008847669198</v>
          </cell>
        </row>
        <row r="22">
          <cell r="E22">
            <v>595.77197535955565</v>
          </cell>
        </row>
        <row r="23">
          <cell r="E23">
            <v>692.319854088385</v>
          </cell>
        </row>
        <row r="24">
          <cell r="E24">
            <v>799.24177782540903</v>
          </cell>
        </row>
        <row r="25">
          <cell r="E25">
            <v>982.1644935164187</v>
          </cell>
        </row>
        <row r="26">
          <cell r="E26">
            <v>453.93538546587087</v>
          </cell>
        </row>
        <row r="27">
          <cell r="E27">
            <v>1136.1882287850424</v>
          </cell>
        </row>
        <row r="28">
          <cell r="E28">
            <v>766.37643230360061</v>
          </cell>
        </row>
        <row r="29">
          <cell r="E29">
            <v>922.89146670064622</v>
          </cell>
        </row>
        <row r="30">
          <cell r="E30">
            <v>115462.3724229654</v>
          </cell>
        </row>
        <row r="31">
          <cell r="E31">
            <v>126099.31678738352</v>
          </cell>
        </row>
        <row r="32">
          <cell r="E32">
            <v>40146.321100039102</v>
          </cell>
        </row>
        <row r="33">
          <cell r="E33">
            <v>71416.058726961535</v>
          </cell>
        </row>
      </sheetData>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Control"/>
      <sheetName val="Data"/>
      <sheetName val="MAT Tracker"/>
      <sheetName val="Old Style Allocations"/>
      <sheetName val="LAVAs adj for Modernstn&amp;Loctn"/>
      <sheetName val="PDS tech changes"/>
      <sheetName val="PSBP2 Alloc"/>
      <sheetName val="LALookUp"/>
      <sheetName val="RB Aggregator"/>
      <sheetName val="Weighting calculations"/>
      <sheetName val="DFC calculations"/>
      <sheetName val="PDS calculations"/>
      <sheetName val="RB Level calculations"/>
      <sheetName val="Dashboard"/>
      <sheetName val="RB Level Outputs"/>
      <sheetName val="Multi Dash vs 1516"/>
      <sheetName val="Multi Dash vs 1415"/>
      <sheetName val="Winners &amp; losers tables"/>
      <sheetName val="RB table"/>
      <sheetName val="2011-18 Summary"/>
      <sheetName val="2011-18 Summary (MATs)"/>
      <sheetName val="Maintenance budget"/>
      <sheetName val="CSOP Out Detailed"/>
      <sheetName val="CSOP Out Basic"/>
      <sheetName val="1) Summary"/>
      <sheetName val="2) LA &amp; VA"/>
      <sheetName val="3) MATs"/>
      <sheetName val="LA, Parly Con"/>
      <sheetName val="Parly Con LA"/>
      <sheetName val="Sheet2"/>
      <sheetName val="MAT_Tracker"/>
      <sheetName val="Old_Style_Allocations"/>
      <sheetName val="LAVAs_adj_for_Modernstn&amp;Loctn"/>
      <sheetName val="PDS_tech_changes"/>
      <sheetName val="PSBP2_Alloc"/>
      <sheetName val="RB_Aggregator"/>
      <sheetName val="Weighting_calculations"/>
      <sheetName val="DFC_calculations"/>
      <sheetName val="PDS_calculations"/>
      <sheetName val="RB_Level_calculations"/>
      <sheetName val="RB_Level_Outputs"/>
      <sheetName val="Multi_Dash_vs_1516"/>
      <sheetName val="Multi_Dash_vs_1415"/>
      <sheetName val="Winners_&amp;_losers_tables"/>
      <sheetName val="RB_table"/>
      <sheetName val="2011-18_Summary"/>
      <sheetName val="2011-18_Summary_(MATs)"/>
      <sheetName val="Maintenance_budget"/>
      <sheetName val="CSOP_Out_Detailed"/>
      <sheetName val="CSOP_Out_Basic"/>
      <sheetName val="1)_Summary"/>
      <sheetName val="2)_LA_&amp;_VA"/>
      <sheetName val="3)_MATs"/>
      <sheetName val="LA,_Parly_Con"/>
      <sheetName val="Parly_Con_LA"/>
    </sheetNames>
    <sheetDataSet>
      <sheetData sheetId="0" refreshError="1"/>
      <sheetData sheetId="1" refreshError="1"/>
      <sheetData sheetId="2" refreshError="1">
        <row r="19">
          <cell r="G19">
            <v>1</v>
          </cell>
          <cell r="I19">
            <v>2</v>
          </cell>
        </row>
        <row r="20">
          <cell r="G20">
            <v>1.5</v>
          </cell>
          <cell r="I20">
            <v>1.5</v>
          </cell>
        </row>
        <row r="21">
          <cell r="G21">
            <v>3</v>
          </cell>
          <cell r="I21">
            <v>0</v>
          </cell>
        </row>
        <row r="22">
          <cell r="G22">
            <v>2</v>
          </cell>
          <cell r="I22">
            <v>1</v>
          </cell>
        </row>
        <row r="26">
          <cell r="I26">
            <v>8.0000000000000071E-2</v>
          </cell>
        </row>
        <row r="38">
          <cell r="D38">
            <v>5290000000</v>
          </cell>
        </row>
        <row r="40">
          <cell r="D40">
            <v>6000000</v>
          </cell>
          <cell r="F40" t="str">
            <v>Yes</v>
          </cell>
        </row>
        <row r="46">
          <cell r="D46">
            <v>202367126.30775014</v>
          </cell>
        </row>
        <row r="56">
          <cell r="D56">
            <v>129390814.87111662</v>
          </cell>
        </row>
        <row r="62">
          <cell r="D62">
            <v>4000</v>
          </cell>
        </row>
        <row r="63">
          <cell r="D63" t="str">
            <v>Phase weighted</v>
          </cell>
        </row>
        <row r="64">
          <cell r="D64" t="str">
            <v>Off</v>
          </cell>
        </row>
        <row r="67">
          <cell r="D67">
            <v>11.25</v>
          </cell>
        </row>
        <row r="70">
          <cell r="D70" t="str">
            <v>Yes</v>
          </cell>
        </row>
        <row r="73">
          <cell r="D73" t="str">
            <v>Phase weighted</v>
          </cell>
        </row>
        <row r="74">
          <cell r="D74" t="str">
            <v>On</v>
          </cell>
        </row>
        <row r="76">
          <cell r="D76">
            <v>132.44681889347808</v>
          </cell>
        </row>
        <row r="79">
          <cell r="D79">
            <v>0.8</v>
          </cell>
        </row>
        <row r="80">
          <cell r="D80">
            <v>0.8</v>
          </cell>
        </row>
        <row r="81">
          <cell r="D81">
            <v>0.8</v>
          </cell>
        </row>
        <row r="85">
          <cell r="D85">
            <v>0</v>
          </cell>
        </row>
        <row r="86">
          <cell r="D86" t="str">
            <v>Phase weighted</v>
          </cell>
        </row>
        <row r="87">
          <cell r="D87" t="str">
            <v>On</v>
          </cell>
        </row>
        <row r="90">
          <cell r="D90">
            <v>115.14113960514061</v>
          </cell>
        </row>
        <row r="93">
          <cell r="D93">
            <v>0</v>
          </cell>
        </row>
        <row r="94">
          <cell r="D94">
            <v>0</v>
          </cell>
        </row>
        <row r="95">
          <cell r="D95">
            <v>1</v>
          </cell>
        </row>
        <row r="96">
          <cell r="D96">
            <v>1</v>
          </cell>
        </row>
        <row r="97">
          <cell r="D97" t="str">
            <v>Off</v>
          </cell>
        </row>
        <row r="98">
          <cell r="D98">
            <v>1</v>
          </cell>
        </row>
        <row r="99">
          <cell r="D99" t="str">
            <v>Off</v>
          </cell>
        </row>
        <row r="102">
          <cell r="D102">
            <v>400</v>
          </cell>
        </row>
        <row r="103">
          <cell r="D103" t="str">
            <v>Yes</v>
          </cell>
        </row>
        <row r="104">
          <cell r="D104" t="str">
            <v>actual</v>
          </cell>
        </row>
        <row r="105">
          <cell r="D105" t="str">
            <v>Actual</v>
          </cell>
        </row>
        <row r="111">
          <cell r="D111" t="str">
            <v>Phase weighted</v>
          </cell>
        </row>
        <row r="112">
          <cell r="D112" t="str">
            <v>On</v>
          </cell>
        </row>
        <row r="113">
          <cell r="D113" t="str">
            <v>per msq</v>
          </cell>
        </row>
        <row r="116">
          <cell r="D116">
            <v>112.55580352163608</v>
          </cell>
        </row>
        <row r="117">
          <cell r="D117">
            <v>5.8782636468217744</v>
          </cell>
        </row>
        <row r="118">
          <cell r="D118">
            <v>10</v>
          </cell>
        </row>
        <row r="119">
          <cell r="D119">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Charts and Tables"/>
      <sheetName val="Schools 25%&gt;"/>
      <sheetName val="Overcapacity"/>
      <sheetName val="1999 GCSE"/>
      <sheetName val="1999 KS2"/>
      <sheetName val="1999 LEASD LEA Forecasts"/>
      <sheetName val="2000 Overcapacity Breakdown"/>
      <sheetName val="2000 Surplus Breakdown"/>
      <sheetName val="2000 Projections"/>
      <sheetName val="2000 ActualNet"/>
      <sheetName val="2000 LEA Forecasts"/>
      <sheetName val="SeriousWeakness"/>
      <sheetName val="Special Measures"/>
      <sheetName val="target99"/>
      <sheetName val="target00"/>
      <sheetName val="CHECK00"/>
      <sheetName val="LeaNum"/>
      <sheetName val="DataPaste"/>
      <sheetName val="DataPaste 2"/>
      <sheetName val="Module1"/>
      <sheetName val="Module2"/>
      <sheetName val="Module3"/>
      <sheetName val="Front_page"/>
      <sheetName val="Charts_and_Tables"/>
      <sheetName val="Schools_25%&gt;"/>
      <sheetName val="1999_GCSE"/>
      <sheetName val="1999_KS2"/>
      <sheetName val="1999_LEASD_LEA_Forecasts"/>
      <sheetName val="2000_Overcapacity_Breakdown"/>
      <sheetName val="2000_Surplus_Breakdown"/>
      <sheetName val="2000_Projections"/>
      <sheetName val="2000_ActualNet"/>
      <sheetName val="2000_LEA_Forecasts"/>
      <sheetName val="Special_Measures"/>
      <sheetName val="DataPaste_2"/>
      <sheetName val="Front_page1"/>
      <sheetName val="Charts_and_Tables1"/>
      <sheetName val="Schools_25%&gt;1"/>
      <sheetName val="1999_GCSE1"/>
      <sheetName val="1999_KS21"/>
      <sheetName val="1999_LEASD_LEA_Forecasts1"/>
      <sheetName val="2000_Overcapacity_Breakdown1"/>
      <sheetName val="2000_Surplus_Breakdown1"/>
      <sheetName val="2000_Projections1"/>
      <sheetName val="2000_ActualNet1"/>
      <sheetName val="2000_LEA_Forecasts1"/>
      <sheetName val="Special_Measures1"/>
      <sheetName val="DataPaste_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8">
          <cell r="A8">
            <v>201</v>
          </cell>
          <cell r="B8" t="str">
            <v>City of London</v>
          </cell>
          <cell r="C8">
            <v>1</v>
          </cell>
          <cell r="D8">
            <v>0</v>
          </cell>
          <cell r="E8">
            <v>0</v>
          </cell>
          <cell r="F8">
            <v>1</v>
          </cell>
          <cell r="G8">
            <v>0</v>
          </cell>
          <cell r="H8">
            <v>0</v>
          </cell>
          <cell r="J8">
            <v>201</v>
          </cell>
          <cell r="K8" t="str">
            <v>City of London</v>
          </cell>
          <cell r="L8">
            <v>0</v>
          </cell>
          <cell r="M8">
            <v>0</v>
          </cell>
          <cell r="N8">
            <v>0</v>
          </cell>
          <cell r="O8">
            <v>0</v>
          </cell>
          <cell r="P8">
            <v>0</v>
          </cell>
          <cell r="Q8">
            <v>0</v>
          </cell>
        </row>
        <row r="9">
          <cell r="A9">
            <v>202</v>
          </cell>
          <cell r="B9" t="str">
            <v>Camden</v>
          </cell>
          <cell r="C9">
            <v>42</v>
          </cell>
          <cell r="D9">
            <v>4</v>
          </cell>
          <cell r="E9">
            <v>1</v>
          </cell>
          <cell r="F9">
            <v>25</v>
          </cell>
          <cell r="G9">
            <v>4</v>
          </cell>
          <cell r="H9">
            <v>8</v>
          </cell>
          <cell r="J9">
            <v>202</v>
          </cell>
          <cell r="K9" t="str">
            <v>Camden</v>
          </cell>
          <cell r="L9">
            <v>10</v>
          </cell>
          <cell r="M9">
            <v>1</v>
          </cell>
          <cell r="N9">
            <v>1</v>
          </cell>
          <cell r="O9">
            <v>3</v>
          </cell>
          <cell r="P9">
            <v>1</v>
          </cell>
          <cell r="Q9">
            <v>4</v>
          </cell>
        </row>
        <row r="10">
          <cell r="A10">
            <v>203</v>
          </cell>
          <cell r="B10" t="str">
            <v>Greenwich</v>
          </cell>
          <cell r="C10">
            <v>69</v>
          </cell>
          <cell r="D10">
            <v>8</v>
          </cell>
          <cell r="E10">
            <v>10</v>
          </cell>
          <cell r="F10">
            <v>34</v>
          </cell>
          <cell r="G10">
            <v>9</v>
          </cell>
          <cell r="H10">
            <v>8</v>
          </cell>
          <cell r="J10">
            <v>203</v>
          </cell>
          <cell r="K10" t="str">
            <v>Greenwich</v>
          </cell>
          <cell r="L10">
            <v>14</v>
          </cell>
          <cell r="M10">
            <v>2</v>
          </cell>
          <cell r="N10">
            <v>1</v>
          </cell>
          <cell r="O10">
            <v>7</v>
          </cell>
          <cell r="P10">
            <v>0</v>
          </cell>
          <cell r="Q10">
            <v>4</v>
          </cell>
        </row>
        <row r="11">
          <cell r="A11">
            <v>204</v>
          </cell>
          <cell r="B11" t="str">
            <v>Hackney</v>
          </cell>
          <cell r="C11">
            <v>58</v>
          </cell>
          <cell r="D11">
            <v>6</v>
          </cell>
          <cell r="E11">
            <v>9</v>
          </cell>
          <cell r="F11">
            <v>34</v>
          </cell>
          <cell r="G11">
            <v>4</v>
          </cell>
          <cell r="H11">
            <v>5</v>
          </cell>
          <cell r="J11">
            <v>204</v>
          </cell>
          <cell r="K11" t="str">
            <v>Hackney</v>
          </cell>
          <cell r="L11">
            <v>9</v>
          </cell>
          <cell r="M11">
            <v>1</v>
          </cell>
          <cell r="N11">
            <v>1</v>
          </cell>
          <cell r="O11">
            <v>5</v>
          </cell>
          <cell r="P11">
            <v>1</v>
          </cell>
          <cell r="Q11">
            <v>1</v>
          </cell>
        </row>
        <row r="12">
          <cell r="A12">
            <v>205</v>
          </cell>
          <cell r="B12" t="str">
            <v>Hammersmith and Fulham</v>
          </cell>
          <cell r="C12">
            <v>36</v>
          </cell>
          <cell r="D12">
            <v>5</v>
          </cell>
          <cell r="E12">
            <v>4</v>
          </cell>
          <cell r="F12">
            <v>16</v>
          </cell>
          <cell r="G12">
            <v>3</v>
          </cell>
          <cell r="H12">
            <v>8</v>
          </cell>
          <cell r="J12">
            <v>205</v>
          </cell>
          <cell r="K12" t="str">
            <v>Hammersmith and Fulham</v>
          </cell>
          <cell r="L12">
            <v>8</v>
          </cell>
          <cell r="M12">
            <v>0</v>
          </cell>
          <cell r="N12">
            <v>2</v>
          </cell>
          <cell r="O12">
            <v>5</v>
          </cell>
          <cell r="P12">
            <v>0</v>
          </cell>
          <cell r="Q12">
            <v>1</v>
          </cell>
        </row>
        <row r="13">
          <cell r="A13">
            <v>206</v>
          </cell>
          <cell r="B13" t="str">
            <v>Islington</v>
          </cell>
          <cell r="C13">
            <v>49</v>
          </cell>
          <cell r="D13">
            <v>6</v>
          </cell>
          <cell r="E13">
            <v>4</v>
          </cell>
          <cell r="F13">
            <v>29</v>
          </cell>
          <cell r="G13">
            <v>6</v>
          </cell>
          <cell r="H13">
            <v>4</v>
          </cell>
          <cell r="J13">
            <v>206</v>
          </cell>
          <cell r="K13" t="str">
            <v>Islington</v>
          </cell>
          <cell r="L13">
            <v>9</v>
          </cell>
          <cell r="M13">
            <v>1</v>
          </cell>
          <cell r="N13">
            <v>1</v>
          </cell>
          <cell r="O13">
            <v>5</v>
          </cell>
          <cell r="P13">
            <v>1</v>
          </cell>
          <cell r="Q13">
            <v>1</v>
          </cell>
        </row>
        <row r="14">
          <cell r="A14">
            <v>207</v>
          </cell>
          <cell r="B14" t="str">
            <v>Kensington and Chelsea</v>
          </cell>
          <cell r="C14">
            <v>26</v>
          </cell>
          <cell r="D14">
            <v>6</v>
          </cell>
          <cell r="E14">
            <v>2</v>
          </cell>
          <cell r="F14">
            <v>13</v>
          </cell>
          <cell r="G14">
            <v>0</v>
          </cell>
          <cell r="H14">
            <v>5</v>
          </cell>
          <cell r="J14">
            <v>207</v>
          </cell>
          <cell r="K14" t="str">
            <v>Kensington and Chelsea</v>
          </cell>
          <cell r="L14">
            <v>4</v>
          </cell>
          <cell r="M14">
            <v>1</v>
          </cell>
          <cell r="N14">
            <v>0</v>
          </cell>
          <cell r="O14">
            <v>2</v>
          </cell>
          <cell r="P14">
            <v>0</v>
          </cell>
          <cell r="Q14">
            <v>1</v>
          </cell>
        </row>
        <row r="15">
          <cell r="A15">
            <v>208</v>
          </cell>
          <cell r="B15" t="str">
            <v>Lambeth</v>
          </cell>
          <cell r="C15">
            <v>67</v>
          </cell>
          <cell r="D15">
            <v>8</v>
          </cell>
          <cell r="E15">
            <v>8</v>
          </cell>
          <cell r="F15">
            <v>35</v>
          </cell>
          <cell r="G15">
            <v>5</v>
          </cell>
          <cell r="H15">
            <v>11</v>
          </cell>
          <cell r="J15">
            <v>208</v>
          </cell>
          <cell r="K15" t="str">
            <v>Lambeth</v>
          </cell>
          <cell r="L15">
            <v>10</v>
          </cell>
          <cell r="M15">
            <v>2</v>
          </cell>
          <cell r="N15">
            <v>2</v>
          </cell>
          <cell r="O15">
            <v>4</v>
          </cell>
          <cell r="P15">
            <v>1</v>
          </cell>
          <cell r="Q15">
            <v>1</v>
          </cell>
        </row>
        <row r="16">
          <cell r="A16">
            <v>209</v>
          </cell>
          <cell r="B16" t="str">
            <v>Lewisham</v>
          </cell>
          <cell r="C16">
            <v>70</v>
          </cell>
          <cell r="D16">
            <v>2</v>
          </cell>
          <cell r="E16">
            <v>4</v>
          </cell>
          <cell r="F16">
            <v>34</v>
          </cell>
          <cell r="G16">
            <v>7</v>
          </cell>
          <cell r="H16">
            <v>23</v>
          </cell>
          <cell r="J16">
            <v>209</v>
          </cell>
          <cell r="K16" t="str">
            <v>Lewisham</v>
          </cell>
          <cell r="L16">
            <v>13</v>
          </cell>
          <cell r="M16">
            <v>2</v>
          </cell>
          <cell r="N16">
            <v>1</v>
          </cell>
          <cell r="O16">
            <v>8</v>
          </cell>
          <cell r="P16">
            <v>1</v>
          </cell>
          <cell r="Q16">
            <v>1</v>
          </cell>
        </row>
        <row r="17">
          <cell r="A17">
            <v>210</v>
          </cell>
          <cell r="B17" t="str">
            <v>Southwark</v>
          </cell>
          <cell r="C17">
            <v>72</v>
          </cell>
          <cell r="D17">
            <v>6</v>
          </cell>
          <cell r="E17">
            <v>5</v>
          </cell>
          <cell r="F17">
            <v>49</v>
          </cell>
          <cell r="G17">
            <v>5</v>
          </cell>
          <cell r="H17">
            <v>7</v>
          </cell>
          <cell r="J17">
            <v>210</v>
          </cell>
          <cell r="K17" t="str">
            <v>Southwark</v>
          </cell>
          <cell r="L17">
            <v>12</v>
          </cell>
          <cell r="M17">
            <v>0</v>
          </cell>
          <cell r="N17">
            <v>1</v>
          </cell>
          <cell r="O17">
            <v>8</v>
          </cell>
          <cell r="P17">
            <v>0</v>
          </cell>
          <cell r="Q17">
            <v>3</v>
          </cell>
        </row>
        <row r="18">
          <cell r="A18">
            <v>211</v>
          </cell>
          <cell r="B18" t="str">
            <v>Tower Hamlets</v>
          </cell>
          <cell r="C18">
            <v>73</v>
          </cell>
          <cell r="D18">
            <v>10</v>
          </cell>
          <cell r="E18">
            <v>6</v>
          </cell>
          <cell r="F18">
            <v>55</v>
          </cell>
          <cell r="G18">
            <v>2</v>
          </cell>
          <cell r="H18">
            <v>0</v>
          </cell>
          <cell r="J18">
            <v>211</v>
          </cell>
          <cell r="K18" t="str">
            <v>Tower Hamlets</v>
          </cell>
          <cell r="L18">
            <v>15</v>
          </cell>
          <cell r="M18">
            <v>1</v>
          </cell>
          <cell r="N18">
            <v>1</v>
          </cell>
          <cell r="O18">
            <v>13</v>
          </cell>
          <cell r="P18">
            <v>0</v>
          </cell>
          <cell r="Q18">
            <v>0</v>
          </cell>
        </row>
        <row r="19">
          <cell r="A19">
            <v>212</v>
          </cell>
          <cell r="B19" t="str">
            <v>Wandsworth</v>
          </cell>
          <cell r="C19">
            <v>58</v>
          </cell>
          <cell r="D19">
            <v>7</v>
          </cell>
          <cell r="E19">
            <v>9</v>
          </cell>
          <cell r="F19">
            <v>31</v>
          </cell>
          <cell r="G19">
            <v>4</v>
          </cell>
          <cell r="H19">
            <v>7</v>
          </cell>
          <cell r="J19">
            <v>212</v>
          </cell>
          <cell r="K19" t="str">
            <v>Wandsworth</v>
          </cell>
          <cell r="L19">
            <v>9</v>
          </cell>
          <cell r="M19">
            <v>1</v>
          </cell>
          <cell r="N19">
            <v>0</v>
          </cell>
          <cell r="O19">
            <v>7</v>
          </cell>
          <cell r="P19">
            <v>1</v>
          </cell>
          <cell r="Q19">
            <v>0</v>
          </cell>
        </row>
        <row r="20">
          <cell r="A20">
            <v>213</v>
          </cell>
          <cell r="B20" t="str">
            <v>Westminster</v>
          </cell>
          <cell r="C20">
            <v>40</v>
          </cell>
          <cell r="D20">
            <v>1</v>
          </cell>
          <cell r="E20">
            <v>3</v>
          </cell>
          <cell r="F20">
            <v>22</v>
          </cell>
          <cell r="G20">
            <v>4</v>
          </cell>
          <cell r="H20">
            <v>10</v>
          </cell>
          <cell r="J20">
            <v>213</v>
          </cell>
          <cell r="K20" t="str">
            <v>Westminster</v>
          </cell>
          <cell r="L20">
            <v>8</v>
          </cell>
          <cell r="M20">
            <v>0</v>
          </cell>
          <cell r="N20">
            <v>2</v>
          </cell>
          <cell r="O20">
            <v>2</v>
          </cell>
          <cell r="P20">
            <v>1</v>
          </cell>
          <cell r="Q20">
            <v>3</v>
          </cell>
        </row>
        <row r="21">
          <cell r="A21">
            <v>301</v>
          </cell>
          <cell r="B21" t="str">
            <v>Barking and Dagenham</v>
          </cell>
          <cell r="C21">
            <v>49</v>
          </cell>
          <cell r="D21">
            <v>3</v>
          </cell>
          <cell r="E21">
            <v>7</v>
          </cell>
          <cell r="F21">
            <v>30</v>
          </cell>
          <cell r="G21">
            <v>6</v>
          </cell>
          <cell r="H21">
            <v>3</v>
          </cell>
          <cell r="J21">
            <v>301</v>
          </cell>
          <cell r="K21" t="str">
            <v>Barking and Dagenham</v>
          </cell>
          <cell r="L21">
            <v>8</v>
          </cell>
          <cell r="M21">
            <v>0</v>
          </cell>
          <cell r="N21">
            <v>1</v>
          </cell>
          <cell r="O21">
            <v>5</v>
          </cell>
          <cell r="P21">
            <v>2</v>
          </cell>
          <cell r="Q21">
            <v>0</v>
          </cell>
        </row>
        <row r="22">
          <cell r="A22">
            <v>302</v>
          </cell>
          <cell r="B22" t="str">
            <v>Barnet</v>
          </cell>
          <cell r="C22">
            <v>90</v>
          </cell>
          <cell r="D22">
            <v>0</v>
          </cell>
          <cell r="E22">
            <v>6</v>
          </cell>
          <cell r="F22">
            <v>53</v>
          </cell>
          <cell r="G22">
            <v>13</v>
          </cell>
          <cell r="H22">
            <v>18</v>
          </cell>
          <cell r="J22">
            <v>302</v>
          </cell>
          <cell r="K22" t="str">
            <v>Barnet</v>
          </cell>
          <cell r="L22">
            <v>21</v>
          </cell>
          <cell r="M22">
            <v>0</v>
          </cell>
          <cell r="N22">
            <v>0</v>
          </cell>
          <cell r="O22">
            <v>13</v>
          </cell>
          <cell r="P22">
            <v>3</v>
          </cell>
          <cell r="Q22">
            <v>5</v>
          </cell>
        </row>
        <row r="23">
          <cell r="A23">
            <v>303</v>
          </cell>
          <cell r="B23" t="str">
            <v>Bexley</v>
          </cell>
          <cell r="C23">
            <v>63</v>
          </cell>
          <cell r="D23">
            <v>2</v>
          </cell>
          <cell r="E23">
            <v>2</v>
          </cell>
          <cell r="F23">
            <v>41</v>
          </cell>
          <cell r="G23">
            <v>6</v>
          </cell>
          <cell r="H23">
            <v>12</v>
          </cell>
          <cell r="J23">
            <v>303</v>
          </cell>
          <cell r="K23" t="str">
            <v>Bexley</v>
          </cell>
          <cell r="L23">
            <v>16</v>
          </cell>
          <cell r="M23">
            <v>0</v>
          </cell>
          <cell r="N23">
            <v>1</v>
          </cell>
          <cell r="O23">
            <v>14</v>
          </cell>
          <cell r="P23">
            <v>1</v>
          </cell>
          <cell r="Q23">
            <v>0</v>
          </cell>
        </row>
        <row r="24">
          <cell r="A24">
            <v>304</v>
          </cell>
          <cell r="B24" t="str">
            <v>Brent</v>
          </cell>
          <cell r="C24">
            <v>60</v>
          </cell>
          <cell r="D24">
            <v>5</v>
          </cell>
          <cell r="E24">
            <v>5</v>
          </cell>
          <cell r="F24">
            <v>30</v>
          </cell>
          <cell r="G24">
            <v>7</v>
          </cell>
          <cell r="H24">
            <v>13</v>
          </cell>
          <cell r="J24">
            <v>304</v>
          </cell>
          <cell r="K24" t="str">
            <v>Brent</v>
          </cell>
          <cell r="L24">
            <v>13</v>
          </cell>
          <cell r="M24">
            <v>1</v>
          </cell>
          <cell r="N24">
            <v>1</v>
          </cell>
          <cell r="O24">
            <v>7</v>
          </cell>
          <cell r="P24">
            <v>1</v>
          </cell>
          <cell r="Q24">
            <v>3</v>
          </cell>
        </row>
        <row r="25">
          <cell r="A25">
            <v>305</v>
          </cell>
          <cell r="B25" t="str">
            <v>Bromley</v>
          </cell>
          <cell r="C25">
            <v>78</v>
          </cell>
          <cell r="D25">
            <v>0</v>
          </cell>
          <cell r="E25">
            <v>6</v>
          </cell>
          <cell r="F25">
            <v>18</v>
          </cell>
          <cell r="G25">
            <v>16</v>
          </cell>
          <cell r="H25">
            <v>38</v>
          </cell>
          <cell r="J25">
            <v>305</v>
          </cell>
          <cell r="K25" t="str">
            <v>Bromley</v>
          </cell>
          <cell r="L25">
            <v>17</v>
          </cell>
          <cell r="M25">
            <v>0</v>
          </cell>
          <cell r="N25">
            <v>0</v>
          </cell>
          <cell r="O25">
            <v>12</v>
          </cell>
          <cell r="P25">
            <v>1</v>
          </cell>
          <cell r="Q25">
            <v>4</v>
          </cell>
        </row>
        <row r="26">
          <cell r="A26">
            <v>306</v>
          </cell>
          <cell r="B26" t="str">
            <v>Croydon</v>
          </cell>
          <cell r="C26">
            <v>94</v>
          </cell>
          <cell r="D26">
            <v>4</v>
          </cell>
          <cell r="E26">
            <v>7</v>
          </cell>
          <cell r="F26">
            <v>60</v>
          </cell>
          <cell r="G26">
            <v>10</v>
          </cell>
          <cell r="H26">
            <v>13</v>
          </cell>
          <cell r="J26">
            <v>306</v>
          </cell>
          <cell r="K26" t="str">
            <v>Croydon</v>
          </cell>
          <cell r="L26">
            <v>21</v>
          </cell>
          <cell r="M26">
            <v>1</v>
          </cell>
          <cell r="N26">
            <v>3</v>
          </cell>
          <cell r="O26">
            <v>11</v>
          </cell>
          <cell r="P26">
            <v>0</v>
          </cell>
          <cell r="Q26">
            <v>6</v>
          </cell>
        </row>
        <row r="27">
          <cell r="A27">
            <v>307</v>
          </cell>
          <cell r="B27" t="str">
            <v>Ealing</v>
          </cell>
          <cell r="C27">
            <v>65</v>
          </cell>
          <cell r="D27">
            <v>7</v>
          </cell>
          <cell r="E27">
            <v>9</v>
          </cell>
          <cell r="F27">
            <v>39</v>
          </cell>
          <cell r="G27">
            <v>3</v>
          </cell>
          <cell r="H27">
            <v>7</v>
          </cell>
          <cell r="J27">
            <v>307</v>
          </cell>
          <cell r="K27" t="str">
            <v>Ealing</v>
          </cell>
          <cell r="L27">
            <v>13</v>
          </cell>
          <cell r="M27">
            <v>0</v>
          </cell>
          <cell r="N27">
            <v>1</v>
          </cell>
          <cell r="O27">
            <v>7</v>
          </cell>
          <cell r="P27">
            <v>2</v>
          </cell>
          <cell r="Q27">
            <v>3</v>
          </cell>
        </row>
        <row r="28">
          <cell r="A28">
            <v>308</v>
          </cell>
          <cell r="B28" t="str">
            <v>Enfield</v>
          </cell>
          <cell r="C28">
            <v>66</v>
          </cell>
          <cell r="D28">
            <v>3</v>
          </cell>
          <cell r="E28">
            <v>0</v>
          </cell>
          <cell r="F28">
            <v>31</v>
          </cell>
          <cell r="G28">
            <v>12</v>
          </cell>
          <cell r="H28">
            <v>20</v>
          </cell>
          <cell r="J28">
            <v>308</v>
          </cell>
          <cell r="K28" t="str">
            <v>Enfield</v>
          </cell>
          <cell r="L28">
            <v>16</v>
          </cell>
          <cell r="M28">
            <v>0</v>
          </cell>
          <cell r="N28">
            <v>3</v>
          </cell>
          <cell r="O28">
            <v>11</v>
          </cell>
          <cell r="P28">
            <v>0</v>
          </cell>
          <cell r="Q28">
            <v>2</v>
          </cell>
        </row>
        <row r="29">
          <cell r="A29">
            <v>309</v>
          </cell>
          <cell r="B29" t="str">
            <v>Haringey</v>
          </cell>
          <cell r="C29">
            <v>69</v>
          </cell>
          <cell r="D29">
            <v>2</v>
          </cell>
          <cell r="E29">
            <v>5</v>
          </cell>
          <cell r="F29">
            <v>42</v>
          </cell>
          <cell r="G29">
            <v>4</v>
          </cell>
          <cell r="H29">
            <v>16</v>
          </cell>
          <cell r="J29">
            <v>309</v>
          </cell>
          <cell r="K29" t="str">
            <v>Haringey</v>
          </cell>
          <cell r="L29">
            <v>11</v>
          </cell>
          <cell r="M29">
            <v>0</v>
          </cell>
          <cell r="N29">
            <v>1</v>
          </cell>
          <cell r="O29">
            <v>7</v>
          </cell>
          <cell r="P29">
            <v>0</v>
          </cell>
          <cell r="Q29">
            <v>3</v>
          </cell>
        </row>
        <row r="30">
          <cell r="A30">
            <v>310</v>
          </cell>
          <cell r="B30" t="str">
            <v>Harrow</v>
          </cell>
          <cell r="C30">
            <v>56</v>
          </cell>
          <cell r="D30">
            <v>1</v>
          </cell>
          <cell r="E30">
            <v>7</v>
          </cell>
          <cell r="F30">
            <v>24</v>
          </cell>
          <cell r="G30">
            <v>8</v>
          </cell>
          <cell r="H30">
            <v>16</v>
          </cell>
          <cell r="J30">
            <v>310</v>
          </cell>
          <cell r="K30" t="str">
            <v>Harrow</v>
          </cell>
          <cell r="L30">
            <v>10</v>
          </cell>
          <cell r="M30">
            <v>0</v>
          </cell>
          <cell r="N30">
            <v>2</v>
          </cell>
          <cell r="O30">
            <v>7</v>
          </cell>
          <cell r="P30">
            <v>0</v>
          </cell>
          <cell r="Q30">
            <v>1</v>
          </cell>
        </row>
        <row r="31">
          <cell r="A31">
            <v>311</v>
          </cell>
          <cell r="B31" t="str">
            <v>Havering</v>
          </cell>
          <cell r="C31">
            <v>68</v>
          </cell>
          <cell r="D31">
            <v>6</v>
          </cell>
          <cell r="E31">
            <v>7</v>
          </cell>
          <cell r="F31">
            <v>42</v>
          </cell>
          <cell r="G31">
            <v>8</v>
          </cell>
          <cell r="H31">
            <v>5</v>
          </cell>
          <cell r="J31">
            <v>311</v>
          </cell>
          <cell r="K31" t="str">
            <v>Havering</v>
          </cell>
          <cell r="L31">
            <v>18</v>
          </cell>
          <cell r="M31">
            <v>2</v>
          </cell>
          <cell r="N31">
            <v>2</v>
          </cell>
          <cell r="O31">
            <v>10</v>
          </cell>
          <cell r="P31">
            <v>1</v>
          </cell>
          <cell r="Q31">
            <v>3</v>
          </cell>
        </row>
        <row r="32">
          <cell r="A32">
            <v>312</v>
          </cell>
          <cell r="B32" t="str">
            <v>Hillingdon</v>
          </cell>
          <cell r="C32">
            <v>67</v>
          </cell>
          <cell r="D32">
            <v>1</v>
          </cell>
          <cell r="E32">
            <v>6</v>
          </cell>
          <cell r="F32">
            <v>38</v>
          </cell>
          <cell r="G32">
            <v>8</v>
          </cell>
          <cell r="H32">
            <v>14</v>
          </cell>
          <cell r="J32">
            <v>312</v>
          </cell>
          <cell r="K32" t="str">
            <v>Hillingdon</v>
          </cell>
          <cell r="L32">
            <v>17</v>
          </cell>
          <cell r="M32">
            <v>2</v>
          </cell>
          <cell r="N32">
            <v>2</v>
          </cell>
          <cell r="O32">
            <v>9</v>
          </cell>
          <cell r="P32">
            <v>1</v>
          </cell>
          <cell r="Q32">
            <v>3</v>
          </cell>
        </row>
        <row r="33">
          <cell r="A33">
            <v>313</v>
          </cell>
          <cell r="B33" t="str">
            <v>Hounslow</v>
          </cell>
          <cell r="C33">
            <v>64</v>
          </cell>
          <cell r="D33">
            <v>4</v>
          </cell>
          <cell r="E33">
            <v>6</v>
          </cell>
          <cell r="F33">
            <v>43</v>
          </cell>
          <cell r="G33">
            <v>4</v>
          </cell>
          <cell r="H33">
            <v>7</v>
          </cell>
          <cell r="J33">
            <v>313</v>
          </cell>
          <cell r="K33" t="str">
            <v>Hounslow</v>
          </cell>
          <cell r="L33">
            <v>14</v>
          </cell>
          <cell r="M33">
            <v>0</v>
          </cell>
          <cell r="N33">
            <v>1</v>
          </cell>
          <cell r="O33">
            <v>7</v>
          </cell>
          <cell r="P33">
            <v>2</v>
          </cell>
          <cell r="Q33">
            <v>4</v>
          </cell>
        </row>
        <row r="34">
          <cell r="A34">
            <v>314</v>
          </cell>
          <cell r="B34" t="str">
            <v>Kingston upon Thames</v>
          </cell>
          <cell r="C34">
            <v>37</v>
          </cell>
          <cell r="D34">
            <v>1</v>
          </cell>
          <cell r="E34">
            <v>2</v>
          </cell>
          <cell r="F34">
            <v>8</v>
          </cell>
          <cell r="G34">
            <v>3</v>
          </cell>
          <cell r="H34">
            <v>23</v>
          </cell>
          <cell r="J34">
            <v>314</v>
          </cell>
          <cell r="K34" t="str">
            <v>Kingston upon Thames</v>
          </cell>
          <cell r="L34">
            <v>10</v>
          </cell>
          <cell r="M34">
            <v>1</v>
          </cell>
          <cell r="N34">
            <v>1</v>
          </cell>
          <cell r="O34">
            <v>6</v>
          </cell>
          <cell r="P34">
            <v>0</v>
          </cell>
          <cell r="Q34">
            <v>2</v>
          </cell>
        </row>
        <row r="35">
          <cell r="A35">
            <v>315</v>
          </cell>
          <cell r="B35" t="str">
            <v>Merton</v>
          </cell>
          <cell r="C35">
            <v>49</v>
          </cell>
          <cell r="D35">
            <v>5</v>
          </cell>
          <cell r="E35">
            <v>3</v>
          </cell>
          <cell r="F35">
            <v>20</v>
          </cell>
          <cell r="G35">
            <v>10</v>
          </cell>
          <cell r="H35">
            <v>11</v>
          </cell>
          <cell r="J35">
            <v>315</v>
          </cell>
          <cell r="K35" t="str">
            <v>Merton</v>
          </cell>
          <cell r="L35">
            <v>11</v>
          </cell>
          <cell r="M35">
            <v>2</v>
          </cell>
          <cell r="N35">
            <v>3</v>
          </cell>
          <cell r="O35">
            <v>3</v>
          </cell>
          <cell r="P35">
            <v>1</v>
          </cell>
          <cell r="Q35">
            <v>2</v>
          </cell>
        </row>
        <row r="36">
          <cell r="A36">
            <v>316</v>
          </cell>
          <cell r="B36" t="str">
            <v>Newham</v>
          </cell>
          <cell r="C36">
            <v>64</v>
          </cell>
          <cell r="D36">
            <v>3</v>
          </cell>
          <cell r="E36">
            <v>2</v>
          </cell>
          <cell r="F36">
            <v>44</v>
          </cell>
          <cell r="G36">
            <v>8</v>
          </cell>
          <cell r="H36">
            <v>7</v>
          </cell>
          <cell r="J36">
            <v>316</v>
          </cell>
          <cell r="K36" t="str">
            <v>Newham</v>
          </cell>
          <cell r="L36">
            <v>14</v>
          </cell>
          <cell r="M36">
            <v>1</v>
          </cell>
          <cell r="N36">
            <v>1</v>
          </cell>
          <cell r="O36">
            <v>8</v>
          </cell>
          <cell r="P36">
            <v>2</v>
          </cell>
          <cell r="Q36">
            <v>2</v>
          </cell>
        </row>
        <row r="37">
          <cell r="A37">
            <v>317</v>
          </cell>
          <cell r="B37" t="str">
            <v>Redbridge</v>
          </cell>
          <cell r="C37">
            <v>52</v>
          </cell>
          <cell r="D37">
            <v>2</v>
          </cell>
          <cell r="E37">
            <v>4</v>
          </cell>
          <cell r="F37">
            <v>26</v>
          </cell>
          <cell r="G37">
            <v>3</v>
          </cell>
          <cell r="H37">
            <v>17</v>
          </cell>
          <cell r="J37">
            <v>317</v>
          </cell>
          <cell r="K37" t="str">
            <v>Redbridge</v>
          </cell>
          <cell r="L37">
            <v>16</v>
          </cell>
          <cell r="M37">
            <v>0</v>
          </cell>
          <cell r="N37">
            <v>2</v>
          </cell>
          <cell r="O37">
            <v>9</v>
          </cell>
          <cell r="P37">
            <v>2</v>
          </cell>
          <cell r="Q37">
            <v>3</v>
          </cell>
        </row>
        <row r="38">
          <cell r="A38">
            <v>318</v>
          </cell>
          <cell r="B38" t="str">
            <v>Richmond upon Thames</v>
          </cell>
          <cell r="C38">
            <v>39</v>
          </cell>
          <cell r="D38">
            <v>0</v>
          </cell>
          <cell r="E38">
            <v>3</v>
          </cell>
          <cell r="F38">
            <v>23</v>
          </cell>
          <cell r="G38">
            <v>4</v>
          </cell>
          <cell r="H38">
            <v>9</v>
          </cell>
          <cell r="J38">
            <v>318</v>
          </cell>
          <cell r="K38" t="str">
            <v>Richmond upon Thames</v>
          </cell>
          <cell r="L38">
            <v>8</v>
          </cell>
          <cell r="M38">
            <v>1</v>
          </cell>
          <cell r="N38">
            <v>0</v>
          </cell>
          <cell r="O38">
            <v>3</v>
          </cell>
          <cell r="P38">
            <v>2</v>
          </cell>
          <cell r="Q38">
            <v>2</v>
          </cell>
        </row>
        <row r="39">
          <cell r="A39">
            <v>319</v>
          </cell>
          <cell r="B39" t="str">
            <v>Sutton</v>
          </cell>
          <cell r="C39">
            <v>43</v>
          </cell>
          <cell r="D39">
            <v>1</v>
          </cell>
          <cell r="E39">
            <v>3</v>
          </cell>
          <cell r="F39">
            <v>22</v>
          </cell>
          <cell r="G39">
            <v>7</v>
          </cell>
          <cell r="H39">
            <v>10</v>
          </cell>
          <cell r="J39">
            <v>319</v>
          </cell>
          <cell r="K39" t="str">
            <v>Sutton</v>
          </cell>
          <cell r="L39">
            <v>14</v>
          </cell>
          <cell r="M39">
            <v>0</v>
          </cell>
          <cell r="N39">
            <v>1</v>
          </cell>
          <cell r="O39">
            <v>8</v>
          </cell>
          <cell r="P39">
            <v>2</v>
          </cell>
          <cell r="Q39">
            <v>3</v>
          </cell>
        </row>
        <row r="40">
          <cell r="A40">
            <v>320</v>
          </cell>
          <cell r="B40" t="str">
            <v>Waltham Forest</v>
          </cell>
          <cell r="C40">
            <v>65</v>
          </cell>
          <cell r="D40">
            <v>5</v>
          </cell>
          <cell r="E40">
            <v>6</v>
          </cell>
          <cell r="F40">
            <v>37</v>
          </cell>
          <cell r="G40">
            <v>6</v>
          </cell>
          <cell r="H40">
            <v>11</v>
          </cell>
          <cell r="J40">
            <v>320</v>
          </cell>
          <cell r="K40" t="str">
            <v>Waltham Forest</v>
          </cell>
          <cell r="L40">
            <v>16</v>
          </cell>
          <cell r="M40">
            <v>1</v>
          </cell>
          <cell r="N40">
            <v>1</v>
          </cell>
          <cell r="O40">
            <v>11</v>
          </cell>
          <cell r="P40">
            <v>0</v>
          </cell>
          <cell r="Q40">
            <v>3</v>
          </cell>
        </row>
        <row r="41">
          <cell r="A41">
            <v>330</v>
          </cell>
          <cell r="B41" t="str">
            <v>Birmingham</v>
          </cell>
          <cell r="C41">
            <v>328</v>
          </cell>
          <cell r="D41">
            <v>33</v>
          </cell>
          <cell r="E41">
            <v>23</v>
          </cell>
          <cell r="F41">
            <v>191</v>
          </cell>
          <cell r="G41">
            <v>28</v>
          </cell>
          <cell r="H41">
            <v>53</v>
          </cell>
          <cell r="J41">
            <v>330</v>
          </cell>
          <cell r="K41" t="str">
            <v>Birmingham</v>
          </cell>
          <cell r="L41">
            <v>77</v>
          </cell>
          <cell r="M41">
            <v>8</v>
          </cell>
          <cell r="N41">
            <v>9</v>
          </cell>
          <cell r="O41">
            <v>42</v>
          </cell>
          <cell r="P41">
            <v>4</v>
          </cell>
          <cell r="Q41">
            <v>14</v>
          </cell>
        </row>
        <row r="42">
          <cell r="A42">
            <v>331</v>
          </cell>
          <cell r="B42" t="str">
            <v>Coventry</v>
          </cell>
          <cell r="C42">
            <v>89</v>
          </cell>
          <cell r="D42">
            <v>11</v>
          </cell>
          <cell r="E42">
            <v>5</v>
          </cell>
          <cell r="F42">
            <v>61</v>
          </cell>
          <cell r="G42">
            <v>9</v>
          </cell>
          <cell r="H42">
            <v>3</v>
          </cell>
          <cell r="J42">
            <v>331</v>
          </cell>
          <cell r="K42" t="str">
            <v>Coventry</v>
          </cell>
          <cell r="L42">
            <v>19</v>
          </cell>
          <cell r="M42">
            <v>2</v>
          </cell>
          <cell r="N42">
            <v>3</v>
          </cell>
          <cell r="O42">
            <v>12</v>
          </cell>
          <cell r="P42">
            <v>2</v>
          </cell>
          <cell r="Q42">
            <v>0</v>
          </cell>
        </row>
        <row r="43">
          <cell r="A43">
            <v>332</v>
          </cell>
          <cell r="B43" t="str">
            <v>Dudley</v>
          </cell>
          <cell r="C43">
            <v>82</v>
          </cell>
          <cell r="D43">
            <v>12</v>
          </cell>
          <cell r="E43">
            <v>8</v>
          </cell>
          <cell r="F43">
            <v>48</v>
          </cell>
          <cell r="G43">
            <v>5</v>
          </cell>
          <cell r="H43">
            <v>9</v>
          </cell>
          <cell r="J43">
            <v>332</v>
          </cell>
          <cell r="K43" t="str">
            <v>Dudley</v>
          </cell>
          <cell r="L43">
            <v>22</v>
          </cell>
          <cell r="M43">
            <v>1</v>
          </cell>
          <cell r="N43">
            <v>2</v>
          </cell>
          <cell r="O43">
            <v>12</v>
          </cell>
          <cell r="P43">
            <v>4</v>
          </cell>
          <cell r="Q43">
            <v>3</v>
          </cell>
        </row>
        <row r="44">
          <cell r="A44">
            <v>333</v>
          </cell>
          <cell r="B44" t="str">
            <v>Sandwell</v>
          </cell>
          <cell r="C44">
            <v>102</v>
          </cell>
          <cell r="D44">
            <v>8</v>
          </cell>
          <cell r="E44">
            <v>10</v>
          </cell>
          <cell r="F44">
            <v>36</v>
          </cell>
          <cell r="G44">
            <v>11</v>
          </cell>
          <cell r="H44">
            <v>37</v>
          </cell>
          <cell r="J44">
            <v>333</v>
          </cell>
          <cell r="K44" t="str">
            <v>Sandwell</v>
          </cell>
          <cell r="L44">
            <v>20</v>
          </cell>
          <cell r="M44">
            <v>3</v>
          </cell>
          <cell r="N44">
            <v>4</v>
          </cell>
          <cell r="O44">
            <v>7</v>
          </cell>
          <cell r="P44">
            <v>2</v>
          </cell>
          <cell r="Q44">
            <v>4</v>
          </cell>
        </row>
        <row r="45">
          <cell r="A45">
            <v>334</v>
          </cell>
          <cell r="B45" t="str">
            <v>Solihull</v>
          </cell>
          <cell r="C45">
            <v>68</v>
          </cell>
          <cell r="D45">
            <v>5</v>
          </cell>
          <cell r="E45">
            <v>8</v>
          </cell>
          <cell r="F45">
            <v>30</v>
          </cell>
          <cell r="G45">
            <v>4</v>
          </cell>
          <cell r="H45">
            <v>21</v>
          </cell>
          <cell r="J45">
            <v>334</v>
          </cell>
          <cell r="K45" t="str">
            <v>Solihull</v>
          </cell>
          <cell r="L45">
            <v>13</v>
          </cell>
          <cell r="M45">
            <v>0</v>
          </cell>
          <cell r="N45">
            <v>1</v>
          </cell>
          <cell r="O45">
            <v>11</v>
          </cell>
          <cell r="P45">
            <v>0</v>
          </cell>
          <cell r="Q45">
            <v>1</v>
          </cell>
        </row>
        <row r="46">
          <cell r="A46">
            <v>335</v>
          </cell>
          <cell r="B46" t="str">
            <v>Walsall</v>
          </cell>
          <cell r="C46">
            <v>96</v>
          </cell>
          <cell r="D46">
            <v>5</v>
          </cell>
          <cell r="E46">
            <v>12</v>
          </cell>
          <cell r="F46">
            <v>60</v>
          </cell>
          <cell r="G46">
            <v>5</v>
          </cell>
          <cell r="H46">
            <v>14</v>
          </cell>
          <cell r="J46">
            <v>335</v>
          </cell>
          <cell r="K46" t="str">
            <v>Walsall</v>
          </cell>
          <cell r="L46">
            <v>20</v>
          </cell>
          <cell r="M46">
            <v>1</v>
          </cell>
          <cell r="N46">
            <v>1</v>
          </cell>
          <cell r="O46">
            <v>14</v>
          </cell>
          <cell r="P46">
            <v>3</v>
          </cell>
          <cell r="Q46">
            <v>1</v>
          </cell>
        </row>
        <row r="47">
          <cell r="A47">
            <v>336</v>
          </cell>
          <cell r="B47" t="str">
            <v>Wolverhampton</v>
          </cell>
          <cell r="C47">
            <v>91</v>
          </cell>
          <cell r="D47">
            <v>18</v>
          </cell>
          <cell r="E47">
            <v>12</v>
          </cell>
          <cell r="F47">
            <v>44</v>
          </cell>
          <cell r="G47">
            <v>7</v>
          </cell>
          <cell r="H47">
            <v>10</v>
          </cell>
          <cell r="J47">
            <v>336</v>
          </cell>
          <cell r="K47" t="str">
            <v>Wolverhampton</v>
          </cell>
          <cell r="L47">
            <v>18</v>
          </cell>
          <cell r="M47">
            <v>2</v>
          </cell>
          <cell r="N47">
            <v>2</v>
          </cell>
          <cell r="O47">
            <v>8</v>
          </cell>
          <cell r="P47">
            <v>3</v>
          </cell>
          <cell r="Q47">
            <v>3</v>
          </cell>
        </row>
        <row r="48">
          <cell r="A48">
            <v>340</v>
          </cell>
          <cell r="B48" t="str">
            <v>Knowsley</v>
          </cell>
          <cell r="C48">
            <v>60</v>
          </cell>
          <cell r="D48">
            <v>14</v>
          </cell>
          <cell r="E48">
            <v>7</v>
          </cell>
          <cell r="F48">
            <v>29</v>
          </cell>
          <cell r="G48">
            <v>1</v>
          </cell>
          <cell r="H48">
            <v>9</v>
          </cell>
          <cell r="J48">
            <v>340</v>
          </cell>
          <cell r="K48" t="str">
            <v>Knowsley</v>
          </cell>
          <cell r="L48">
            <v>11</v>
          </cell>
          <cell r="M48">
            <v>1</v>
          </cell>
          <cell r="N48">
            <v>3</v>
          </cell>
          <cell r="O48">
            <v>7</v>
          </cell>
          <cell r="P48">
            <v>0</v>
          </cell>
          <cell r="Q48">
            <v>0</v>
          </cell>
        </row>
        <row r="49">
          <cell r="A49">
            <v>341</v>
          </cell>
          <cell r="B49" t="str">
            <v>Liverpool</v>
          </cell>
          <cell r="C49">
            <v>157</v>
          </cell>
          <cell r="D49">
            <v>31</v>
          </cell>
          <cell r="E49">
            <v>33</v>
          </cell>
          <cell r="F49">
            <v>64</v>
          </cell>
          <cell r="G49">
            <v>10</v>
          </cell>
          <cell r="H49">
            <v>19</v>
          </cell>
          <cell r="J49">
            <v>341</v>
          </cell>
          <cell r="K49" t="str">
            <v>Liverpool</v>
          </cell>
          <cell r="L49">
            <v>34</v>
          </cell>
          <cell r="M49">
            <v>2</v>
          </cell>
          <cell r="N49">
            <v>7</v>
          </cell>
          <cell r="O49">
            <v>16</v>
          </cell>
          <cell r="P49">
            <v>2</v>
          </cell>
          <cell r="Q49">
            <v>7</v>
          </cell>
        </row>
        <row r="50">
          <cell r="A50">
            <v>342</v>
          </cell>
          <cell r="B50" t="str">
            <v>St. Helens</v>
          </cell>
          <cell r="C50">
            <v>60</v>
          </cell>
          <cell r="D50">
            <v>9</v>
          </cell>
          <cell r="E50">
            <v>10</v>
          </cell>
          <cell r="F50">
            <v>23</v>
          </cell>
          <cell r="G50">
            <v>6</v>
          </cell>
          <cell r="H50">
            <v>12</v>
          </cell>
          <cell r="J50">
            <v>342</v>
          </cell>
          <cell r="K50" t="str">
            <v>St. Helens</v>
          </cell>
          <cell r="L50">
            <v>12</v>
          </cell>
          <cell r="M50">
            <v>0</v>
          </cell>
          <cell r="N50">
            <v>3</v>
          </cell>
          <cell r="O50">
            <v>6</v>
          </cell>
          <cell r="P50">
            <v>0</v>
          </cell>
          <cell r="Q50">
            <v>3</v>
          </cell>
        </row>
        <row r="51">
          <cell r="A51">
            <v>343</v>
          </cell>
          <cell r="B51" t="str">
            <v>Sefton</v>
          </cell>
          <cell r="C51">
            <v>92</v>
          </cell>
          <cell r="D51">
            <v>14</v>
          </cell>
          <cell r="E51">
            <v>12</v>
          </cell>
          <cell r="F51">
            <v>49</v>
          </cell>
          <cell r="G51">
            <v>4</v>
          </cell>
          <cell r="H51">
            <v>13</v>
          </cell>
          <cell r="J51">
            <v>343</v>
          </cell>
          <cell r="K51" t="str">
            <v>Sefton</v>
          </cell>
          <cell r="L51">
            <v>22</v>
          </cell>
          <cell r="M51">
            <v>2</v>
          </cell>
          <cell r="N51">
            <v>3</v>
          </cell>
          <cell r="O51">
            <v>11</v>
          </cell>
          <cell r="P51">
            <v>2</v>
          </cell>
          <cell r="Q51">
            <v>4</v>
          </cell>
        </row>
        <row r="52">
          <cell r="A52">
            <v>344</v>
          </cell>
          <cell r="B52" t="str">
            <v>Wirral</v>
          </cell>
          <cell r="C52">
            <v>101</v>
          </cell>
          <cell r="D52">
            <v>20</v>
          </cell>
          <cell r="E52">
            <v>18</v>
          </cell>
          <cell r="F52">
            <v>41</v>
          </cell>
          <cell r="G52">
            <v>8</v>
          </cell>
          <cell r="H52">
            <v>14</v>
          </cell>
          <cell r="J52">
            <v>344</v>
          </cell>
          <cell r="K52" t="str">
            <v>Wirral</v>
          </cell>
          <cell r="L52">
            <v>23</v>
          </cell>
          <cell r="M52">
            <v>2</v>
          </cell>
          <cell r="N52">
            <v>1</v>
          </cell>
          <cell r="O52">
            <v>14</v>
          </cell>
          <cell r="P52">
            <v>3</v>
          </cell>
          <cell r="Q52">
            <v>3</v>
          </cell>
        </row>
        <row r="53">
          <cell r="A53">
            <v>350</v>
          </cell>
          <cell r="B53" t="str">
            <v>Bolton</v>
          </cell>
          <cell r="C53">
            <v>105</v>
          </cell>
          <cell r="D53">
            <v>9</v>
          </cell>
          <cell r="E53">
            <v>8</v>
          </cell>
          <cell r="F53">
            <v>60</v>
          </cell>
          <cell r="G53">
            <v>3</v>
          </cell>
          <cell r="H53">
            <v>25</v>
          </cell>
          <cell r="J53">
            <v>350</v>
          </cell>
          <cell r="K53" t="str">
            <v>Bolton</v>
          </cell>
          <cell r="L53">
            <v>16</v>
          </cell>
          <cell r="M53">
            <v>1</v>
          </cell>
          <cell r="N53">
            <v>0</v>
          </cell>
          <cell r="O53">
            <v>8</v>
          </cell>
          <cell r="P53">
            <v>3</v>
          </cell>
          <cell r="Q53">
            <v>4</v>
          </cell>
        </row>
        <row r="54">
          <cell r="A54">
            <v>351</v>
          </cell>
          <cell r="B54" t="str">
            <v>Bury</v>
          </cell>
          <cell r="C54">
            <v>70</v>
          </cell>
          <cell r="D54">
            <v>3</v>
          </cell>
          <cell r="E54">
            <v>3</v>
          </cell>
          <cell r="F54">
            <v>36</v>
          </cell>
          <cell r="G54">
            <v>6</v>
          </cell>
          <cell r="H54">
            <v>22</v>
          </cell>
          <cell r="J54">
            <v>351</v>
          </cell>
          <cell r="K54" t="str">
            <v>Bury</v>
          </cell>
          <cell r="L54">
            <v>14</v>
          </cell>
          <cell r="M54">
            <v>1</v>
          </cell>
          <cell r="N54">
            <v>0</v>
          </cell>
          <cell r="O54">
            <v>9</v>
          </cell>
          <cell r="P54">
            <v>1</v>
          </cell>
          <cell r="Q54">
            <v>3</v>
          </cell>
        </row>
        <row r="55">
          <cell r="A55">
            <v>352</v>
          </cell>
          <cell r="B55" t="str">
            <v>Manchester</v>
          </cell>
          <cell r="C55">
            <v>150</v>
          </cell>
          <cell r="D55">
            <v>27</v>
          </cell>
          <cell r="E55">
            <v>27</v>
          </cell>
          <cell r="F55">
            <v>78</v>
          </cell>
          <cell r="G55">
            <v>6</v>
          </cell>
          <cell r="H55">
            <v>12</v>
          </cell>
          <cell r="J55">
            <v>352</v>
          </cell>
          <cell r="K55" t="str">
            <v>Manchester</v>
          </cell>
          <cell r="L55">
            <v>25</v>
          </cell>
          <cell r="M55">
            <v>6</v>
          </cell>
          <cell r="N55">
            <v>3</v>
          </cell>
          <cell r="O55">
            <v>8</v>
          </cell>
          <cell r="P55">
            <v>3</v>
          </cell>
          <cell r="Q55">
            <v>5</v>
          </cell>
        </row>
        <row r="56">
          <cell r="A56">
            <v>353</v>
          </cell>
          <cell r="B56" t="str">
            <v>Oldham</v>
          </cell>
          <cell r="C56">
            <v>101</v>
          </cell>
          <cell r="D56">
            <v>4</v>
          </cell>
          <cell r="E56">
            <v>17</v>
          </cell>
          <cell r="F56">
            <v>48</v>
          </cell>
          <cell r="G56">
            <v>7</v>
          </cell>
          <cell r="H56">
            <v>25</v>
          </cell>
          <cell r="J56">
            <v>353</v>
          </cell>
          <cell r="K56" t="str">
            <v>Oldham</v>
          </cell>
          <cell r="L56">
            <v>15</v>
          </cell>
          <cell r="M56">
            <v>2</v>
          </cell>
          <cell r="N56">
            <v>0</v>
          </cell>
          <cell r="O56">
            <v>9</v>
          </cell>
          <cell r="P56">
            <v>1</v>
          </cell>
          <cell r="Q56">
            <v>3</v>
          </cell>
        </row>
        <row r="57">
          <cell r="A57">
            <v>354</v>
          </cell>
          <cell r="B57" t="str">
            <v>Rochdale</v>
          </cell>
          <cell r="C57">
            <v>76</v>
          </cell>
          <cell r="D57">
            <v>7</v>
          </cell>
          <cell r="E57">
            <v>7</v>
          </cell>
          <cell r="F57">
            <v>42</v>
          </cell>
          <cell r="G57">
            <v>7</v>
          </cell>
          <cell r="H57">
            <v>13</v>
          </cell>
          <cell r="J57">
            <v>354</v>
          </cell>
          <cell r="K57" t="str">
            <v>Rochdale</v>
          </cell>
          <cell r="L57">
            <v>14</v>
          </cell>
          <cell r="M57">
            <v>2</v>
          </cell>
          <cell r="N57">
            <v>3</v>
          </cell>
          <cell r="O57">
            <v>7</v>
          </cell>
          <cell r="P57">
            <v>1</v>
          </cell>
          <cell r="Q57">
            <v>1</v>
          </cell>
        </row>
        <row r="58">
          <cell r="A58">
            <v>355</v>
          </cell>
          <cell r="B58" t="str">
            <v>Salford</v>
          </cell>
          <cell r="C58">
            <v>86</v>
          </cell>
          <cell r="D58">
            <v>29</v>
          </cell>
          <cell r="E58">
            <v>12</v>
          </cell>
          <cell r="F58">
            <v>38</v>
          </cell>
          <cell r="G58">
            <v>2</v>
          </cell>
          <cell r="H58">
            <v>5</v>
          </cell>
          <cell r="J58">
            <v>355</v>
          </cell>
          <cell r="K58" t="str">
            <v>Salford</v>
          </cell>
          <cell r="L58">
            <v>17</v>
          </cell>
          <cell r="M58">
            <v>5</v>
          </cell>
          <cell r="N58">
            <v>4</v>
          </cell>
          <cell r="O58">
            <v>5</v>
          </cell>
          <cell r="P58">
            <v>1</v>
          </cell>
          <cell r="Q58">
            <v>2</v>
          </cell>
        </row>
        <row r="59">
          <cell r="A59">
            <v>356</v>
          </cell>
          <cell r="B59" t="str">
            <v>Stockport</v>
          </cell>
          <cell r="C59">
            <v>103</v>
          </cell>
          <cell r="D59">
            <v>11</v>
          </cell>
          <cell r="E59">
            <v>19</v>
          </cell>
          <cell r="F59">
            <v>59</v>
          </cell>
          <cell r="G59">
            <v>7</v>
          </cell>
          <cell r="H59">
            <v>7</v>
          </cell>
          <cell r="J59">
            <v>356</v>
          </cell>
          <cell r="K59" t="str">
            <v>Stockport</v>
          </cell>
          <cell r="L59">
            <v>14</v>
          </cell>
          <cell r="M59">
            <v>0</v>
          </cell>
          <cell r="N59">
            <v>0</v>
          </cell>
          <cell r="O59">
            <v>11</v>
          </cell>
          <cell r="P59">
            <v>1</v>
          </cell>
          <cell r="Q59">
            <v>2</v>
          </cell>
        </row>
        <row r="60">
          <cell r="A60">
            <v>357</v>
          </cell>
          <cell r="B60" t="str">
            <v>Tameside</v>
          </cell>
          <cell r="C60">
            <v>79</v>
          </cell>
          <cell r="D60">
            <v>4</v>
          </cell>
          <cell r="E60">
            <v>8</v>
          </cell>
          <cell r="F60">
            <v>42</v>
          </cell>
          <cell r="G60">
            <v>13</v>
          </cell>
          <cell r="H60">
            <v>12</v>
          </cell>
          <cell r="J60">
            <v>357</v>
          </cell>
          <cell r="K60" t="str">
            <v>Tameside</v>
          </cell>
          <cell r="L60">
            <v>18</v>
          </cell>
          <cell r="M60">
            <v>2</v>
          </cell>
          <cell r="N60">
            <v>0</v>
          </cell>
          <cell r="O60">
            <v>8</v>
          </cell>
          <cell r="P60">
            <v>5</v>
          </cell>
          <cell r="Q60">
            <v>3</v>
          </cell>
        </row>
        <row r="61">
          <cell r="A61">
            <v>358</v>
          </cell>
          <cell r="B61" t="str">
            <v>Trafford</v>
          </cell>
          <cell r="C61">
            <v>76</v>
          </cell>
          <cell r="D61">
            <v>7</v>
          </cell>
          <cell r="E61">
            <v>8</v>
          </cell>
          <cell r="F61">
            <v>46</v>
          </cell>
          <cell r="G61">
            <v>4</v>
          </cell>
          <cell r="H61">
            <v>11</v>
          </cell>
          <cell r="J61">
            <v>358</v>
          </cell>
          <cell r="K61" t="str">
            <v>Trafford</v>
          </cell>
          <cell r="L61">
            <v>18</v>
          </cell>
          <cell r="M61">
            <v>1</v>
          </cell>
          <cell r="N61">
            <v>1</v>
          </cell>
          <cell r="O61">
            <v>10</v>
          </cell>
          <cell r="P61">
            <v>3</v>
          </cell>
          <cell r="Q61">
            <v>3</v>
          </cell>
        </row>
        <row r="62">
          <cell r="A62">
            <v>359</v>
          </cell>
          <cell r="B62" t="str">
            <v>Wigan</v>
          </cell>
          <cell r="C62">
            <v>112</v>
          </cell>
          <cell r="D62">
            <v>10</v>
          </cell>
          <cell r="E62">
            <v>11</v>
          </cell>
          <cell r="F62">
            <v>55</v>
          </cell>
          <cell r="G62">
            <v>14</v>
          </cell>
          <cell r="H62">
            <v>22</v>
          </cell>
          <cell r="J62">
            <v>359</v>
          </cell>
          <cell r="K62" t="str">
            <v>Wigan</v>
          </cell>
          <cell r="L62">
            <v>21</v>
          </cell>
          <cell r="M62">
            <v>2</v>
          </cell>
          <cell r="N62">
            <v>0</v>
          </cell>
          <cell r="O62">
            <v>9</v>
          </cell>
          <cell r="P62">
            <v>4</v>
          </cell>
          <cell r="Q62">
            <v>6</v>
          </cell>
        </row>
        <row r="63">
          <cell r="A63">
            <v>370</v>
          </cell>
          <cell r="B63" t="str">
            <v>Barnsley</v>
          </cell>
          <cell r="C63">
            <v>87</v>
          </cell>
          <cell r="D63">
            <v>5</v>
          </cell>
          <cell r="E63">
            <v>15</v>
          </cell>
          <cell r="F63">
            <v>55</v>
          </cell>
          <cell r="G63">
            <v>9</v>
          </cell>
          <cell r="H63">
            <v>3</v>
          </cell>
          <cell r="J63">
            <v>370</v>
          </cell>
          <cell r="K63" t="str">
            <v>Barnsley</v>
          </cell>
          <cell r="L63">
            <v>14</v>
          </cell>
          <cell r="M63">
            <v>1</v>
          </cell>
          <cell r="N63">
            <v>0</v>
          </cell>
          <cell r="O63">
            <v>12</v>
          </cell>
          <cell r="P63">
            <v>1</v>
          </cell>
          <cell r="Q63">
            <v>0</v>
          </cell>
        </row>
        <row r="64">
          <cell r="A64">
            <v>371</v>
          </cell>
          <cell r="B64" t="str">
            <v>Doncaster</v>
          </cell>
          <cell r="C64">
            <v>113</v>
          </cell>
          <cell r="D64">
            <v>23</v>
          </cell>
          <cell r="E64">
            <v>19</v>
          </cell>
          <cell r="F64">
            <v>59</v>
          </cell>
          <cell r="G64">
            <v>7</v>
          </cell>
          <cell r="H64">
            <v>5</v>
          </cell>
          <cell r="J64">
            <v>371</v>
          </cell>
          <cell r="K64" t="str">
            <v>Doncaster</v>
          </cell>
          <cell r="L64">
            <v>17</v>
          </cell>
          <cell r="M64">
            <v>0</v>
          </cell>
          <cell r="N64">
            <v>3</v>
          </cell>
          <cell r="O64">
            <v>9</v>
          </cell>
          <cell r="P64">
            <v>1</v>
          </cell>
          <cell r="Q64">
            <v>4</v>
          </cell>
        </row>
        <row r="65">
          <cell r="A65">
            <v>372</v>
          </cell>
          <cell r="B65" t="str">
            <v>Rotherham</v>
          </cell>
          <cell r="C65">
            <v>110</v>
          </cell>
          <cell r="D65">
            <v>7</v>
          </cell>
          <cell r="E65">
            <v>20</v>
          </cell>
          <cell r="F65">
            <v>57</v>
          </cell>
          <cell r="G65">
            <v>12</v>
          </cell>
          <cell r="H65">
            <v>14</v>
          </cell>
          <cell r="J65">
            <v>372</v>
          </cell>
          <cell r="K65" t="str">
            <v>Rotherham</v>
          </cell>
          <cell r="L65">
            <v>17</v>
          </cell>
          <cell r="M65">
            <v>1</v>
          </cell>
          <cell r="N65">
            <v>3</v>
          </cell>
          <cell r="O65">
            <v>10</v>
          </cell>
          <cell r="P65">
            <v>0</v>
          </cell>
          <cell r="Q65">
            <v>3</v>
          </cell>
        </row>
        <row r="66">
          <cell r="A66">
            <v>373</v>
          </cell>
          <cell r="B66" t="str">
            <v>Sheffield</v>
          </cell>
          <cell r="C66">
            <v>148</v>
          </cell>
          <cell r="D66">
            <v>17</v>
          </cell>
          <cell r="E66">
            <v>16</v>
          </cell>
          <cell r="F66">
            <v>68</v>
          </cell>
          <cell r="G66">
            <v>12</v>
          </cell>
          <cell r="H66">
            <v>35</v>
          </cell>
          <cell r="J66">
            <v>373</v>
          </cell>
          <cell r="K66" t="str">
            <v>Sheffield</v>
          </cell>
          <cell r="L66">
            <v>27</v>
          </cell>
          <cell r="M66">
            <v>0</v>
          </cell>
          <cell r="N66">
            <v>4</v>
          </cell>
          <cell r="O66">
            <v>16</v>
          </cell>
          <cell r="P66">
            <v>1</v>
          </cell>
          <cell r="Q66">
            <v>6</v>
          </cell>
        </row>
        <row r="67">
          <cell r="A67">
            <v>380</v>
          </cell>
          <cell r="B67" t="str">
            <v>Bradford</v>
          </cell>
          <cell r="C67">
            <v>163</v>
          </cell>
          <cell r="D67">
            <v>14</v>
          </cell>
          <cell r="E67">
            <v>21</v>
          </cell>
          <cell r="F67">
            <v>80</v>
          </cell>
          <cell r="G67">
            <v>13</v>
          </cell>
          <cell r="H67">
            <v>35</v>
          </cell>
          <cell r="J67">
            <v>380</v>
          </cell>
          <cell r="K67" t="str">
            <v>Bradford</v>
          </cell>
          <cell r="L67">
            <v>82</v>
          </cell>
          <cell r="M67">
            <v>42</v>
          </cell>
          <cell r="N67">
            <v>12</v>
          </cell>
          <cell r="O67">
            <v>21</v>
          </cell>
          <cell r="P67">
            <v>2</v>
          </cell>
          <cell r="Q67">
            <v>5</v>
          </cell>
        </row>
        <row r="68">
          <cell r="A68">
            <v>381</v>
          </cell>
          <cell r="B68" t="str">
            <v>Calderdale</v>
          </cell>
          <cell r="C68">
            <v>89</v>
          </cell>
          <cell r="D68">
            <v>12</v>
          </cell>
          <cell r="E68">
            <v>9</v>
          </cell>
          <cell r="F68">
            <v>42</v>
          </cell>
          <cell r="G68">
            <v>8</v>
          </cell>
          <cell r="H68">
            <v>18</v>
          </cell>
          <cell r="J68">
            <v>381</v>
          </cell>
          <cell r="K68" t="str">
            <v>Calderdale</v>
          </cell>
          <cell r="L68">
            <v>15</v>
          </cell>
          <cell r="M68">
            <v>0</v>
          </cell>
          <cell r="N68">
            <v>1</v>
          </cell>
          <cell r="O68">
            <v>9</v>
          </cell>
          <cell r="P68">
            <v>1</v>
          </cell>
          <cell r="Q68">
            <v>4</v>
          </cell>
        </row>
        <row r="69">
          <cell r="A69">
            <v>382</v>
          </cell>
          <cell r="B69" t="str">
            <v>Kirklees</v>
          </cell>
          <cell r="C69">
            <v>152</v>
          </cell>
          <cell r="D69">
            <v>14</v>
          </cell>
          <cell r="E69">
            <v>18</v>
          </cell>
          <cell r="F69">
            <v>85</v>
          </cell>
          <cell r="G69">
            <v>16</v>
          </cell>
          <cell r="H69">
            <v>19</v>
          </cell>
          <cell r="J69">
            <v>382</v>
          </cell>
          <cell r="K69" t="str">
            <v>Kirklees</v>
          </cell>
          <cell r="L69">
            <v>32</v>
          </cell>
          <cell r="M69">
            <v>3</v>
          </cell>
          <cell r="N69">
            <v>2</v>
          </cell>
          <cell r="O69">
            <v>20</v>
          </cell>
          <cell r="P69">
            <v>2</v>
          </cell>
          <cell r="Q69">
            <v>5</v>
          </cell>
        </row>
        <row r="70">
          <cell r="A70">
            <v>383</v>
          </cell>
          <cell r="B70" t="str">
            <v>Leeds</v>
          </cell>
          <cell r="C70">
            <v>244</v>
          </cell>
          <cell r="D70">
            <v>50</v>
          </cell>
          <cell r="E70">
            <v>24</v>
          </cell>
          <cell r="F70">
            <v>141</v>
          </cell>
          <cell r="G70">
            <v>13</v>
          </cell>
          <cell r="H70">
            <v>16</v>
          </cell>
          <cell r="J70">
            <v>383</v>
          </cell>
          <cell r="K70" t="str">
            <v>Leeds</v>
          </cell>
          <cell r="L70">
            <v>43</v>
          </cell>
          <cell r="M70">
            <v>7</v>
          </cell>
          <cell r="N70">
            <v>2</v>
          </cell>
          <cell r="O70">
            <v>27</v>
          </cell>
          <cell r="P70">
            <v>5</v>
          </cell>
          <cell r="Q70">
            <v>2</v>
          </cell>
        </row>
        <row r="71">
          <cell r="A71">
            <v>384</v>
          </cell>
          <cell r="B71" t="str">
            <v>Wakefield</v>
          </cell>
          <cell r="C71">
            <v>130</v>
          </cell>
          <cell r="D71">
            <v>14</v>
          </cell>
          <cell r="E71">
            <v>13</v>
          </cell>
          <cell r="F71">
            <v>76</v>
          </cell>
          <cell r="G71">
            <v>14</v>
          </cell>
          <cell r="H71">
            <v>13</v>
          </cell>
          <cell r="J71">
            <v>384</v>
          </cell>
          <cell r="K71" t="str">
            <v>Wakefield</v>
          </cell>
          <cell r="L71">
            <v>18</v>
          </cell>
          <cell r="M71">
            <v>2</v>
          </cell>
          <cell r="N71">
            <v>1</v>
          </cell>
          <cell r="O71">
            <v>12</v>
          </cell>
          <cell r="P71">
            <v>1</v>
          </cell>
          <cell r="Q71">
            <v>2</v>
          </cell>
        </row>
        <row r="72">
          <cell r="A72">
            <v>390</v>
          </cell>
          <cell r="B72" t="str">
            <v>Gateshead</v>
          </cell>
          <cell r="C72">
            <v>76</v>
          </cell>
          <cell r="D72">
            <v>8</v>
          </cell>
          <cell r="E72">
            <v>9</v>
          </cell>
          <cell r="F72">
            <v>51</v>
          </cell>
          <cell r="G72">
            <v>4</v>
          </cell>
          <cell r="H72">
            <v>4</v>
          </cell>
          <cell r="J72">
            <v>390</v>
          </cell>
          <cell r="K72" t="str">
            <v>Gateshead</v>
          </cell>
          <cell r="L72">
            <v>10</v>
          </cell>
          <cell r="M72">
            <v>0</v>
          </cell>
          <cell r="N72">
            <v>1</v>
          </cell>
          <cell r="O72">
            <v>5</v>
          </cell>
          <cell r="P72">
            <v>2</v>
          </cell>
          <cell r="Q72">
            <v>2</v>
          </cell>
        </row>
        <row r="73">
          <cell r="A73">
            <v>391</v>
          </cell>
          <cell r="B73" t="str">
            <v>Newcastle upon Tyne</v>
          </cell>
          <cell r="C73">
            <v>76</v>
          </cell>
          <cell r="D73">
            <v>23</v>
          </cell>
          <cell r="E73">
            <v>11</v>
          </cell>
          <cell r="F73">
            <v>30</v>
          </cell>
          <cell r="G73">
            <v>2</v>
          </cell>
          <cell r="H73">
            <v>10</v>
          </cell>
          <cell r="J73">
            <v>391</v>
          </cell>
          <cell r="K73" t="str">
            <v>Newcastle upon Tyne</v>
          </cell>
          <cell r="L73">
            <v>21</v>
          </cell>
          <cell r="M73">
            <v>4</v>
          </cell>
          <cell r="N73">
            <v>2</v>
          </cell>
          <cell r="O73">
            <v>12</v>
          </cell>
          <cell r="P73">
            <v>2</v>
          </cell>
          <cell r="Q73">
            <v>1</v>
          </cell>
        </row>
        <row r="74">
          <cell r="A74">
            <v>392</v>
          </cell>
          <cell r="B74" t="str">
            <v>North Tyneside</v>
          </cell>
          <cell r="C74">
            <v>56</v>
          </cell>
          <cell r="D74">
            <v>13</v>
          </cell>
          <cell r="E74">
            <v>5</v>
          </cell>
          <cell r="F74">
            <v>24</v>
          </cell>
          <cell r="G74">
            <v>6</v>
          </cell>
          <cell r="H74">
            <v>8</v>
          </cell>
          <cell r="J74">
            <v>392</v>
          </cell>
          <cell r="K74" t="str">
            <v>North Tyneside</v>
          </cell>
          <cell r="L74">
            <v>23</v>
          </cell>
          <cell r="M74">
            <v>6</v>
          </cell>
          <cell r="N74">
            <v>4</v>
          </cell>
          <cell r="O74">
            <v>10</v>
          </cell>
          <cell r="P74">
            <v>0</v>
          </cell>
          <cell r="Q74">
            <v>3</v>
          </cell>
        </row>
        <row r="75">
          <cell r="A75">
            <v>393</v>
          </cell>
          <cell r="B75" t="str">
            <v>South Tyneside</v>
          </cell>
          <cell r="C75">
            <v>57</v>
          </cell>
          <cell r="D75">
            <v>8</v>
          </cell>
          <cell r="E75">
            <v>8</v>
          </cell>
          <cell r="F75">
            <v>32</v>
          </cell>
          <cell r="G75">
            <v>3</v>
          </cell>
          <cell r="H75">
            <v>6</v>
          </cell>
          <cell r="J75">
            <v>393</v>
          </cell>
          <cell r="K75" t="str">
            <v>South Tyneside</v>
          </cell>
          <cell r="L75">
            <v>11</v>
          </cell>
          <cell r="M75">
            <v>1</v>
          </cell>
          <cell r="N75">
            <v>2</v>
          </cell>
          <cell r="O75">
            <v>6</v>
          </cell>
          <cell r="P75">
            <v>1</v>
          </cell>
          <cell r="Q75">
            <v>1</v>
          </cell>
        </row>
        <row r="76">
          <cell r="A76">
            <v>394</v>
          </cell>
          <cell r="B76" t="str">
            <v>Sunderland</v>
          </cell>
          <cell r="C76">
            <v>96</v>
          </cell>
          <cell r="D76">
            <v>24</v>
          </cell>
          <cell r="E76">
            <v>17</v>
          </cell>
          <cell r="F76">
            <v>49</v>
          </cell>
          <cell r="G76">
            <v>4</v>
          </cell>
          <cell r="H76">
            <v>2</v>
          </cell>
          <cell r="J76">
            <v>394</v>
          </cell>
          <cell r="K76" t="str">
            <v>Sunderland</v>
          </cell>
          <cell r="L76">
            <v>17</v>
          </cell>
          <cell r="M76">
            <v>2</v>
          </cell>
          <cell r="N76">
            <v>1</v>
          </cell>
          <cell r="O76">
            <v>10</v>
          </cell>
          <cell r="P76">
            <v>3</v>
          </cell>
          <cell r="Q76">
            <v>1</v>
          </cell>
        </row>
        <row r="77">
          <cell r="A77">
            <v>420</v>
          </cell>
          <cell r="B77" t="str">
            <v>Isles of Scilly</v>
          </cell>
          <cell r="C77">
            <v>4</v>
          </cell>
          <cell r="D77">
            <v>1</v>
          </cell>
          <cell r="E77">
            <v>3</v>
          </cell>
          <cell r="F77">
            <v>0</v>
          </cell>
          <cell r="G77">
            <v>0</v>
          </cell>
          <cell r="H77">
            <v>0</v>
          </cell>
          <cell r="J77">
            <v>420</v>
          </cell>
          <cell r="K77" t="str">
            <v>Isles of Scilly</v>
          </cell>
          <cell r="L77">
            <v>1</v>
          </cell>
          <cell r="M77">
            <v>1</v>
          </cell>
          <cell r="N77">
            <v>0</v>
          </cell>
          <cell r="O77">
            <v>0</v>
          </cell>
          <cell r="P77">
            <v>0</v>
          </cell>
          <cell r="Q77">
            <v>0</v>
          </cell>
        </row>
        <row r="78">
          <cell r="A78">
            <v>800</v>
          </cell>
          <cell r="B78" t="str">
            <v>Bath and North East Somerset</v>
          </cell>
          <cell r="C78">
            <v>69</v>
          </cell>
          <cell r="D78">
            <v>5</v>
          </cell>
          <cell r="E78">
            <v>11</v>
          </cell>
          <cell r="F78">
            <v>35</v>
          </cell>
          <cell r="G78">
            <v>8</v>
          </cell>
          <cell r="H78">
            <v>10</v>
          </cell>
          <cell r="J78">
            <v>800</v>
          </cell>
          <cell r="K78" t="str">
            <v>Bath and North East Somerset</v>
          </cell>
          <cell r="L78">
            <v>13</v>
          </cell>
          <cell r="M78">
            <v>1</v>
          </cell>
          <cell r="N78">
            <v>2</v>
          </cell>
          <cell r="O78">
            <v>7</v>
          </cell>
          <cell r="P78">
            <v>1</v>
          </cell>
          <cell r="Q78">
            <v>2</v>
          </cell>
        </row>
        <row r="79">
          <cell r="A79">
            <v>801</v>
          </cell>
          <cell r="B79" t="str">
            <v>Bristol, City of</v>
          </cell>
          <cell r="C79">
            <v>121</v>
          </cell>
          <cell r="D79">
            <v>14</v>
          </cell>
          <cell r="E79">
            <v>11</v>
          </cell>
          <cell r="F79">
            <v>64</v>
          </cell>
          <cell r="G79">
            <v>7</v>
          </cell>
          <cell r="H79">
            <v>25</v>
          </cell>
          <cell r="J79">
            <v>801</v>
          </cell>
          <cell r="K79" t="str">
            <v>Bristol, City of</v>
          </cell>
          <cell r="L79">
            <v>22</v>
          </cell>
          <cell r="M79">
            <v>2</v>
          </cell>
          <cell r="N79">
            <v>8</v>
          </cell>
          <cell r="O79">
            <v>10</v>
          </cell>
          <cell r="P79">
            <v>1</v>
          </cell>
          <cell r="Q79">
            <v>1</v>
          </cell>
        </row>
        <row r="80">
          <cell r="A80">
            <v>802</v>
          </cell>
          <cell r="B80" t="str">
            <v>North Somerset</v>
          </cell>
          <cell r="C80">
            <v>65</v>
          </cell>
          <cell r="D80">
            <v>1</v>
          </cell>
          <cell r="E80">
            <v>3</v>
          </cell>
          <cell r="F80">
            <v>46</v>
          </cell>
          <cell r="G80">
            <v>6</v>
          </cell>
          <cell r="H80">
            <v>9</v>
          </cell>
          <cell r="J80">
            <v>802</v>
          </cell>
          <cell r="K80" t="str">
            <v>North Somerset</v>
          </cell>
          <cell r="L80">
            <v>10</v>
          </cell>
          <cell r="M80">
            <v>0</v>
          </cell>
          <cell r="N80">
            <v>1</v>
          </cell>
          <cell r="O80">
            <v>8</v>
          </cell>
          <cell r="P80">
            <v>1</v>
          </cell>
          <cell r="Q80">
            <v>0</v>
          </cell>
        </row>
        <row r="81">
          <cell r="A81">
            <v>803</v>
          </cell>
          <cell r="B81" t="str">
            <v>South Gloucestershire</v>
          </cell>
          <cell r="C81">
            <v>97</v>
          </cell>
          <cell r="D81">
            <v>7</v>
          </cell>
          <cell r="E81">
            <v>11</v>
          </cell>
          <cell r="F81">
            <v>53</v>
          </cell>
          <cell r="G81">
            <v>3</v>
          </cell>
          <cell r="H81">
            <v>23</v>
          </cell>
          <cell r="J81">
            <v>803</v>
          </cell>
          <cell r="K81" t="str">
            <v>South Gloucestershire</v>
          </cell>
          <cell r="L81">
            <v>14</v>
          </cell>
          <cell r="M81">
            <v>1</v>
          </cell>
          <cell r="N81">
            <v>2</v>
          </cell>
          <cell r="O81">
            <v>8</v>
          </cell>
          <cell r="P81">
            <v>2</v>
          </cell>
          <cell r="Q81">
            <v>1</v>
          </cell>
        </row>
        <row r="82">
          <cell r="A82">
            <v>805</v>
          </cell>
          <cell r="B82" t="str">
            <v>Hartlepool</v>
          </cell>
          <cell r="C82">
            <v>30</v>
          </cell>
          <cell r="D82">
            <v>2</v>
          </cell>
          <cell r="E82">
            <v>4</v>
          </cell>
          <cell r="F82">
            <v>20</v>
          </cell>
          <cell r="G82">
            <v>0</v>
          </cell>
          <cell r="H82">
            <v>4</v>
          </cell>
          <cell r="J82">
            <v>805</v>
          </cell>
          <cell r="K82" t="str">
            <v>Hartlepool</v>
          </cell>
          <cell r="L82">
            <v>6</v>
          </cell>
          <cell r="M82">
            <v>0</v>
          </cell>
          <cell r="N82">
            <v>1</v>
          </cell>
          <cell r="O82">
            <v>5</v>
          </cell>
          <cell r="P82">
            <v>0</v>
          </cell>
          <cell r="Q82">
            <v>0</v>
          </cell>
        </row>
        <row r="83">
          <cell r="A83">
            <v>806</v>
          </cell>
          <cell r="B83" t="str">
            <v>Middlesbrough</v>
          </cell>
          <cell r="C83">
            <v>47</v>
          </cell>
          <cell r="D83">
            <v>5</v>
          </cell>
          <cell r="E83">
            <v>6</v>
          </cell>
          <cell r="F83">
            <v>33</v>
          </cell>
          <cell r="G83">
            <v>1</v>
          </cell>
          <cell r="H83">
            <v>2</v>
          </cell>
          <cell r="J83">
            <v>806</v>
          </cell>
          <cell r="K83" t="str">
            <v>Middlesbrough</v>
          </cell>
          <cell r="L83">
            <v>11</v>
          </cell>
          <cell r="M83">
            <v>1</v>
          </cell>
          <cell r="N83">
            <v>2</v>
          </cell>
          <cell r="O83">
            <v>6</v>
          </cell>
          <cell r="P83">
            <v>0</v>
          </cell>
          <cell r="Q83">
            <v>2</v>
          </cell>
        </row>
        <row r="84">
          <cell r="A84">
            <v>807</v>
          </cell>
          <cell r="B84" t="str">
            <v>Redcar and Cleveland</v>
          </cell>
          <cell r="C84">
            <v>53</v>
          </cell>
          <cell r="D84">
            <v>6</v>
          </cell>
          <cell r="E84">
            <v>8</v>
          </cell>
          <cell r="F84">
            <v>35</v>
          </cell>
          <cell r="G84">
            <v>4</v>
          </cell>
          <cell r="H84">
            <v>0</v>
          </cell>
          <cell r="J84">
            <v>807</v>
          </cell>
          <cell r="K84" t="str">
            <v>Redcar and Cleveland</v>
          </cell>
          <cell r="L84">
            <v>13</v>
          </cell>
          <cell r="M84">
            <v>2</v>
          </cell>
          <cell r="N84">
            <v>3</v>
          </cell>
          <cell r="O84">
            <v>7</v>
          </cell>
          <cell r="P84">
            <v>1</v>
          </cell>
          <cell r="Q84">
            <v>0</v>
          </cell>
        </row>
        <row r="85">
          <cell r="A85">
            <v>808</v>
          </cell>
          <cell r="B85" t="str">
            <v>Stockton-on-Tees</v>
          </cell>
          <cell r="C85">
            <v>64</v>
          </cell>
          <cell r="D85">
            <v>2</v>
          </cell>
          <cell r="E85">
            <v>5</v>
          </cell>
          <cell r="F85">
            <v>47</v>
          </cell>
          <cell r="G85">
            <v>3</v>
          </cell>
          <cell r="H85">
            <v>7</v>
          </cell>
          <cell r="J85">
            <v>808</v>
          </cell>
          <cell r="K85" t="str">
            <v>Stockton-on-Tees</v>
          </cell>
          <cell r="L85">
            <v>13</v>
          </cell>
          <cell r="M85">
            <v>2</v>
          </cell>
          <cell r="N85">
            <v>0</v>
          </cell>
          <cell r="O85">
            <v>11</v>
          </cell>
          <cell r="P85">
            <v>0</v>
          </cell>
          <cell r="Q85">
            <v>0</v>
          </cell>
        </row>
        <row r="86">
          <cell r="A86">
            <v>810</v>
          </cell>
          <cell r="B86" t="str">
            <v>Kingston Upon Hull, City of</v>
          </cell>
          <cell r="C86">
            <v>80</v>
          </cell>
          <cell r="D86">
            <v>16</v>
          </cell>
          <cell r="E86">
            <v>17</v>
          </cell>
          <cell r="F86">
            <v>36</v>
          </cell>
          <cell r="G86">
            <v>2</v>
          </cell>
          <cell r="H86">
            <v>9</v>
          </cell>
          <cell r="J86">
            <v>810</v>
          </cell>
          <cell r="K86" t="str">
            <v>Kingston Upon Hull, City of</v>
          </cell>
          <cell r="L86">
            <v>16</v>
          </cell>
          <cell r="M86">
            <v>3</v>
          </cell>
          <cell r="N86">
            <v>1</v>
          </cell>
          <cell r="O86">
            <v>8</v>
          </cell>
          <cell r="P86">
            <v>3</v>
          </cell>
          <cell r="Q86">
            <v>1</v>
          </cell>
        </row>
        <row r="87">
          <cell r="A87">
            <v>811</v>
          </cell>
          <cell r="B87" t="str">
            <v>East Riding of Yorkshire</v>
          </cell>
          <cell r="C87">
            <v>135</v>
          </cell>
          <cell r="D87">
            <v>14</v>
          </cell>
          <cell r="E87">
            <v>28</v>
          </cell>
          <cell r="F87">
            <v>65</v>
          </cell>
          <cell r="G87">
            <v>4</v>
          </cell>
          <cell r="H87">
            <v>24</v>
          </cell>
          <cell r="J87">
            <v>811</v>
          </cell>
          <cell r="K87" t="str">
            <v>East Riding of Yorkshire</v>
          </cell>
          <cell r="L87">
            <v>18</v>
          </cell>
          <cell r="M87">
            <v>1</v>
          </cell>
          <cell r="N87">
            <v>1</v>
          </cell>
          <cell r="O87">
            <v>11</v>
          </cell>
          <cell r="P87">
            <v>3</v>
          </cell>
          <cell r="Q87">
            <v>2</v>
          </cell>
        </row>
        <row r="88">
          <cell r="A88">
            <v>812</v>
          </cell>
          <cell r="B88" t="str">
            <v>North East Lincolnshire</v>
          </cell>
          <cell r="C88">
            <v>62</v>
          </cell>
          <cell r="D88">
            <v>11</v>
          </cell>
          <cell r="E88">
            <v>16</v>
          </cell>
          <cell r="F88">
            <v>33</v>
          </cell>
          <cell r="G88">
            <v>1</v>
          </cell>
          <cell r="H88">
            <v>1</v>
          </cell>
          <cell r="J88">
            <v>812</v>
          </cell>
          <cell r="K88" t="str">
            <v>North East Lincolnshire</v>
          </cell>
          <cell r="L88">
            <v>12</v>
          </cell>
          <cell r="M88">
            <v>0</v>
          </cell>
          <cell r="N88">
            <v>1</v>
          </cell>
          <cell r="O88">
            <v>10</v>
          </cell>
          <cell r="P88">
            <v>0</v>
          </cell>
          <cell r="Q88">
            <v>1</v>
          </cell>
        </row>
        <row r="89">
          <cell r="A89">
            <v>813</v>
          </cell>
          <cell r="B89" t="str">
            <v>North Lincolnshire</v>
          </cell>
          <cell r="C89">
            <v>69</v>
          </cell>
          <cell r="D89">
            <v>8</v>
          </cell>
          <cell r="E89">
            <v>12</v>
          </cell>
          <cell r="F89">
            <v>41</v>
          </cell>
          <cell r="G89">
            <v>5</v>
          </cell>
          <cell r="H89">
            <v>3</v>
          </cell>
          <cell r="J89">
            <v>813</v>
          </cell>
          <cell r="K89" t="str">
            <v>North Lincolnshire</v>
          </cell>
          <cell r="L89">
            <v>14</v>
          </cell>
          <cell r="M89">
            <v>3</v>
          </cell>
          <cell r="N89">
            <v>0</v>
          </cell>
          <cell r="O89">
            <v>8</v>
          </cell>
          <cell r="P89">
            <v>1</v>
          </cell>
          <cell r="Q89">
            <v>2</v>
          </cell>
        </row>
        <row r="90">
          <cell r="A90">
            <v>815</v>
          </cell>
          <cell r="B90" t="str">
            <v>North Yorkshire</v>
          </cell>
          <cell r="C90">
            <v>328</v>
          </cell>
          <cell r="D90">
            <v>37</v>
          </cell>
          <cell r="E90">
            <v>78</v>
          </cell>
          <cell r="F90">
            <v>150</v>
          </cell>
          <cell r="G90">
            <v>13</v>
          </cell>
          <cell r="H90">
            <v>50</v>
          </cell>
          <cell r="J90">
            <v>815</v>
          </cell>
          <cell r="K90" t="str">
            <v>North Yorkshire</v>
          </cell>
          <cell r="L90">
            <v>47</v>
          </cell>
          <cell r="M90">
            <v>2</v>
          </cell>
          <cell r="N90">
            <v>3</v>
          </cell>
          <cell r="O90">
            <v>25</v>
          </cell>
          <cell r="P90">
            <v>6</v>
          </cell>
          <cell r="Q90">
            <v>11</v>
          </cell>
        </row>
        <row r="91">
          <cell r="A91">
            <v>816</v>
          </cell>
          <cell r="B91" t="str">
            <v>York</v>
          </cell>
          <cell r="C91">
            <v>60</v>
          </cell>
          <cell r="D91">
            <v>10</v>
          </cell>
          <cell r="E91">
            <v>8</v>
          </cell>
          <cell r="F91">
            <v>31</v>
          </cell>
          <cell r="G91">
            <v>3</v>
          </cell>
          <cell r="H91">
            <v>8</v>
          </cell>
          <cell r="J91">
            <v>816</v>
          </cell>
          <cell r="K91" t="str">
            <v>York</v>
          </cell>
          <cell r="L91">
            <v>12</v>
          </cell>
          <cell r="M91">
            <v>1</v>
          </cell>
          <cell r="N91">
            <v>3</v>
          </cell>
          <cell r="O91">
            <v>7</v>
          </cell>
          <cell r="P91">
            <v>0</v>
          </cell>
          <cell r="Q91">
            <v>1</v>
          </cell>
        </row>
        <row r="92">
          <cell r="A92">
            <v>820</v>
          </cell>
          <cell r="B92" t="str">
            <v>Bedfordshire</v>
          </cell>
          <cell r="C92">
            <v>147</v>
          </cell>
          <cell r="D92">
            <v>23</v>
          </cell>
          <cell r="E92">
            <v>34</v>
          </cell>
          <cell r="F92">
            <v>63</v>
          </cell>
          <cell r="G92">
            <v>14</v>
          </cell>
          <cell r="H92">
            <v>13</v>
          </cell>
          <cell r="J92">
            <v>820</v>
          </cell>
          <cell r="K92" t="str">
            <v>Bedfordshire</v>
          </cell>
          <cell r="L92">
            <v>57</v>
          </cell>
          <cell r="M92">
            <v>10</v>
          </cell>
          <cell r="N92">
            <v>3</v>
          </cell>
          <cell r="O92">
            <v>30</v>
          </cell>
          <cell r="P92">
            <v>8</v>
          </cell>
          <cell r="Q92">
            <v>6</v>
          </cell>
        </row>
        <row r="93">
          <cell r="A93">
            <v>821</v>
          </cell>
          <cell r="B93" t="str">
            <v>Luton</v>
          </cell>
          <cell r="C93">
            <v>65</v>
          </cell>
          <cell r="D93">
            <v>7</v>
          </cell>
          <cell r="E93">
            <v>11</v>
          </cell>
          <cell r="F93">
            <v>44</v>
          </cell>
          <cell r="G93">
            <v>2</v>
          </cell>
          <cell r="H93">
            <v>1</v>
          </cell>
          <cell r="J93">
            <v>821</v>
          </cell>
          <cell r="K93" t="str">
            <v>Luton</v>
          </cell>
          <cell r="L93">
            <v>12</v>
          </cell>
          <cell r="M93">
            <v>0</v>
          </cell>
          <cell r="N93">
            <v>0</v>
          </cell>
          <cell r="O93">
            <v>9</v>
          </cell>
          <cell r="P93">
            <v>3</v>
          </cell>
          <cell r="Q93">
            <v>0</v>
          </cell>
        </row>
        <row r="94">
          <cell r="A94">
            <v>825</v>
          </cell>
          <cell r="B94" t="str">
            <v>Buckinghamshire</v>
          </cell>
          <cell r="C94">
            <v>195</v>
          </cell>
          <cell r="D94">
            <v>42</v>
          </cell>
          <cell r="E94">
            <v>38</v>
          </cell>
          <cell r="F94">
            <v>92</v>
          </cell>
          <cell r="G94">
            <v>10</v>
          </cell>
          <cell r="H94">
            <v>13</v>
          </cell>
          <cell r="J94">
            <v>825</v>
          </cell>
          <cell r="K94" t="str">
            <v>Buckinghamshire</v>
          </cell>
          <cell r="L94">
            <v>34</v>
          </cell>
          <cell r="M94">
            <v>2</v>
          </cell>
          <cell r="N94">
            <v>0</v>
          </cell>
          <cell r="O94">
            <v>16</v>
          </cell>
          <cell r="P94">
            <v>8</v>
          </cell>
          <cell r="Q94">
            <v>8</v>
          </cell>
        </row>
        <row r="95">
          <cell r="A95">
            <v>826</v>
          </cell>
          <cell r="B95" t="str">
            <v>Milton Keynes</v>
          </cell>
          <cell r="C95">
            <v>86</v>
          </cell>
          <cell r="D95">
            <v>14</v>
          </cell>
          <cell r="E95">
            <v>21</v>
          </cell>
          <cell r="F95">
            <v>43</v>
          </cell>
          <cell r="G95">
            <v>4</v>
          </cell>
          <cell r="H95">
            <v>4</v>
          </cell>
          <cell r="J95">
            <v>826</v>
          </cell>
          <cell r="K95" t="str">
            <v>Milton Keynes</v>
          </cell>
          <cell r="L95">
            <v>11</v>
          </cell>
          <cell r="M95">
            <v>3</v>
          </cell>
          <cell r="N95">
            <v>0</v>
          </cell>
          <cell r="O95">
            <v>6</v>
          </cell>
          <cell r="P95">
            <v>1</v>
          </cell>
          <cell r="Q95">
            <v>1</v>
          </cell>
        </row>
        <row r="96">
          <cell r="A96">
            <v>830</v>
          </cell>
          <cell r="B96" t="str">
            <v>Derbyshire</v>
          </cell>
          <cell r="C96">
            <v>362</v>
          </cell>
          <cell r="D96">
            <v>43</v>
          </cell>
          <cell r="E96">
            <v>54</v>
          </cell>
          <cell r="F96">
            <v>123</v>
          </cell>
          <cell r="G96">
            <v>22</v>
          </cell>
          <cell r="H96">
            <v>120</v>
          </cell>
          <cell r="J96">
            <v>830</v>
          </cell>
          <cell r="K96" t="str">
            <v>Derbyshire</v>
          </cell>
          <cell r="L96">
            <v>47</v>
          </cell>
          <cell r="M96">
            <v>8</v>
          </cell>
          <cell r="N96">
            <v>4</v>
          </cell>
          <cell r="O96">
            <v>16</v>
          </cell>
          <cell r="P96">
            <v>4</v>
          </cell>
          <cell r="Q96">
            <v>15</v>
          </cell>
        </row>
        <row r="97">
          <cell r="A97">
            <v>831</v>
          </cell>
          <cell r="B97" t="str">
            <v>Derby</v>
          </cell>
          <cell r="C97">
            <v>81</v>
          </cell>
          <cell r="D97">
            <v>3</v>
          </cell>
          <cell r="E97">
            <v>9</v>
          </cell>
          <cell r="F97">
            <v>55</v>
          </cell>
          <cell r="G97">
            <v>6</v>
          </cell>
          <cell r="H97">
            <v>8</v>
          </cell>
          <cell r="J97">
            <v>831</v>
          </cell>
          <cell r="K97" t="str">
            <v>Derby</v>
          </cell>
          <cell r="L97">
            <v>14</v>
          </cell>
          <cell r="M97">
            <v>4</v>
          </cell>
          <cell r="N97">
            <v>0</v>
          </cell>
          <cell r="O97">
            <v>8</v>
          </cell>
          <cell r="P97">
            <v>0</v>
          </cell>
          <cell r="Q97">
            <v>2</v>
          </cell>
        </row>
        <row r="98">
          <cell r="A98">
            <v>835</v>
          </cell>
          <cell r="B98" t="str">
            <v>Dorset</v>
          </cell>
          <cell r="C98">
            <v>138</v>
          </cell>
          <cell r="D98">
            <v>14</v>
          </cell>
          <cell r="E98">
            <v>24</v>
          </cell>
          <cell r="F98">
            <v>66</v>
          </cell>
          <cell r="G98">
            <v>12</v>
          </cell>
          <cell r="H98">
            <v>22</v>
          </cell>
          <cell r="J98">
            <v>835</v>
          </cell>
          <cell r="K98" t="str">
            <v>Dorset</v>
          </cell>
          <cell r="L98">
            <v>37</v>
          </cell>
          <cell r="M98">
            <v>2</v>
          </cell>
          <cell r="N98">
            <v>3</v>
          </cell>
          <cell r="O98">
            <v>21</v>
          </cell>
          <cell r="P98">
            <v>3</v>
          </cell>
          <cell r="Q98">
            <v>8</v>
          </cell>
        </row>
        <row r="99">
          <cell r="A99">
            <v>836</v>
          </cell>
          <cell r="B99" t="str">
            <v>Poole</v>
          </cell>
          <cell r="C99">
            <v>30</v>
          </cell>
          <cell r="D99">
            <v>2</v>
          </cell>
          <cell r="E99">
            <v>3</v>
          </cell>
          <cell r="F99">
            <v>15</v>
          </cell>
          <cell r="G99">
            <v>3</v>
          </cell>
          <cell r="H99">
            <v>7</v>
          </cell>
          <cell r="J99">
            <v>836</v>
          </cell>
          <cell r="K99" t="str">
            <v>Poole</v>
          </cell>
          <cell r="L99">
            <v>9</v>
          </cell>
          <cell r="M99">
            <v>0</v>
          </cell>
          <cell r="N99">
            <v>1</v>
          </cell>
          <cell r="O99">
            <v>7</v>
          </cell>
          <cell r="P99">
            <v>0</v>
          </cell>
          <cell r="Q99">
            <v>1</v>
          </cell>
        </row>
        <row r="100">
          <cell r="A100">
            <v>837</v>
          </cell>
          <cell r="B100" t="str">
            <v>Bournemouth</v>
          </cell>
          <cell r="C100">
            <v>28</v>
          </cell>
          <cell r="D100">
            <v>1</v>
          </cell>
          <cell r="E100">
            <v>1</v>
          </cell>
          <cell r="F100">
            <v>9</v>
          </cell>
          <cell r="G100">
            <v>9</v>
          </cell>
          <cell r="H100">
            <v>8</v>
          </cell>
          <cell r="J100">
            <v>837</v>
          </cell>
          <cell r="K100" t="str">
            <v>Bournemouth</v>
          </cell>
          <cell r="L100">
            <v>10</v>
          </cell>
          <cell r="M100">
            <v>1</v>
          </cell>
          <cell r="N100">
            <v>0</v>
          </cell>
          <cell r="O100">
            <v>8</v>
          </cell>
          <cell r="P100">
            <v>0</v>
          </cell>
          <cell r="Q100">
            <v>1</v>
          </cell>
        </row>
        <row r="101">
          <cell r="A101">
            <v>840</v>
          </cell>
          <cell r="B101" t="str">
            <v>Durham</v>
          </cell>
          <cell r="C101">
            <v>247</v>
          </cell>
          <cell r="D101">
            <v>53</v>
          </cell>
          <cell r="E101">
            <v>45</v>
          </cell>
          <cell r="F101">
            <v>108</v>
          </cell>
          <cell r="G101">
            <v>14</v>
          </cell>
          <cell r="H101">
            <v>27</v>
          </cell>
          <cell r="J101">
            <v>840</v>
          </cell>
          <cell r="K101" t="str">
            <v>Durham</v>
          </cell>
          <cell r="L101">
            <v>36</v>
          </cell>
          <cell r="M101">
            <v>4</v>
          </cell>
          <cell r="N101">
            <v>5</v>
          </cell>
          <cell r="O101">
            <v>23</v>
          </cell>
          <cell r="P101">
            <v>1</v>
          </cell>
          <cell r="Q101">
            <v>3</v>
          </cell>
        </row>
        <row r="102">
          <cell r="A102">
            <v>841</v>
          </cell>
          <cell r="B102" t="str">
            <v>Darlington</v>
          </cell>
          <cell r="C102">
            <v>38</v>
          </cell>
          <cell r="D102">
            <v>6</v>
          </cell>
          <cell r="E102">
            <v>3</v>
          </cell>
          <cell r="F102">
            <v>17</v>
          </cell>
          <cell r="G102">
            <v>4</v>
          </cell>
          <cell r="H102">
            <v>8</v>
          </cell>
          <cell r="J102">
            <v>841</v>
          </cell>
          <cell r="K102" t="str">
            <v>Darlington</v>
          </cell>
          <cell r="L102">
            <v>7</v>
          </cell>
          <cell r="M102">
            <v>0</v>
          </cell>
          <cell r="N102">
            <v>2</v>
          </cell>
          <cell r="O102">
            <v>3</v>
          </cell>
          <cell r="P102">
            <v>1</v>
          </cell>
          <cell r="Q102">
            <v>1</v>
          </cell>
        </row>
        <row r="103">
          <cell r="A103">
            <v>845</v>
          </cell>
          <cell r="B103" t="str">
            <v>East Sussex</v>
          </cell>
          <cell r="C103">
            <v>155</v>
          </cell>
          <cell r="D103">
            <v>10</v>
          </cell>
          <cell r="E103">
            <v>22</v>
          </cell>
          <cell r="F103">
            <v>70</v>
          </cell>
          <cell r="G103">
            <v>14</v>
          </cell>
          <cell r="H103">
            <v>39</v>
          </cell>
          <cell r="J103">
            <v>845</v>
          </cell>
          <cell r="K103" t="str">
            <v>East Sussex</v>
          </cell>
          <cell r="L103">
            <v>26</v>
          </cell>
          <cell r="M103">
            <v>1</v>
          </cell>
          <cell r="N103">
            <v>1</v>
          </cell>
          <cell r="O103">
            <v>17</v>
          </cell>
          <cell r="P103">
            <v>2</v>
          </cell>
          <cell r="Q103">
            <v>5</v>
          </cell>
        </row>
        <row r="104">
          <cell r="A104">
            <v>846</v>
          </cell>
          <cell r="B104" t="str">
            <v>Brighton and Hove</v>
          </cell>
          <cell r="C104">
            <v>58</v>
          </cell>
          <cell r="D104">
            <v>7</v>
          </cell>
          <cell r="E104">
            <v>6</v>
          </cell>
          <cell r="F104">
            <v>32</v>
          </cell>
          <cell r="G104">
            <v>5</v>
          </cell>
          <cell r="H104">
            <v>8</v>
          </cell>
          <cell r="J104">
            <v>846</v>
          </cell>
          <cell r="K104" t="str">
            <v>Brighton and Hove</v>
          </cell>
          <cell r="L104">
            <v>10</v>
          </cell>
          <cell r="M104">
            <v>2</v>
          </cell>
          <cell r="N104">
            <v>1</v>
          </cell>
          <cell r="O104">
            <v>4</v>
          </cell>
          <cell r="P104">
            <v>2</v>
          </cell>
          <cell r="Q104">
            <v>1</v>
          </cell>
        </row>
        <row r="105">
          <cell r="A105">
            <v>850</v>
          </cell>
          <cell r="B105" t="str">
            <v>Hampshire</v>
          </cell>
          <cell r="C105">
            <v>439</v>
          </cell>
          <cell r="D105">
            <v>36</v>
          </cell>
          <cell r="E105">
            <v>59</v>
          </cell>
          <cell r="F105">
            <v>284</v>
          </cell>
          <cell r="G105">
            <v>28</v>
          </cell>
          <cell r="H105">
            <v>32</v>
          </cell>
          <cell r="J105">
            <v>850</v>
          </cell>
          <cell r="K105" t="str">
            <v>Hampshire</v>
          </cell>
          <cell r="L105">
            <v>71</v>
          </cell>
          <cell r="M105">
            <v>6</v>
          </cell>
          <cell r="N105">
            <v>7</v>
          </cell>
          <cell r="O105">
            <v>47</v>
          </cell>
          <cell r="P105">
            <v>4</v>
          </cell>
          <cell r="Q105">
            <v>7</v>
          </cell>
        </row>
        <row r="106">
          <cell r="A106">
            <v>851</v>
          </cell>
          <cell r="B106" t="str">
            <v>Portsmouth</v>
          </cell>
          <cell r="C106">
            <v>53</v>
          </cell>
          <cell r="D106">
            <v>3</v>
          </cell>
          <cell r="E106">
            <v>10</v>
          </cell>
          <cell r="F106">
            <v>30</v>
          </cell>
          <cell r="G106">
            <v>2</v>
          </cell>
          <cell r="H106">
            <v>8</v>
          </cell>
          <cell r="J106">
            <v>851</v>
          </cell>
          <cell r="K106" t="str">
            <v>Portsmouth</v>
          </cell>
          <cell r="L106">
            <v>10</v>
          </cell>
          <cell r="M106">
            <v>0</v>
          </cell>
          <cell r="N106">
            <v>0</v>
          </cell>
          <cell r="O106">
            <v>6</v>
          </cell>
          <cell r="P106">
            <v>2</v>
          </cell>
          <cell r="Q106">
            <v>2</v>
          </cell>
        </row>
        <row r="107">
          <cell r="A107">
            <v>852</v>
          </cell>
          <cell r="B107" t="str">
            <v>Southampton</v>
          </cell>
          <cell r="C107">
            <v>67</v>
          </cell>
          <cell r="D107">
            <v>11</v>
          </cell>
          <cell r="E107">
            <v>9</v>
          </cell>
          <cell r="F107">
            <v>40</v>
          </cell>
          <cell r="G107">
            <v>4</v>
          </cell>
          <cell r="H107">
            <v>3</v>
          </cell>
          <cell r="J107">
            <v>852</v>
          </cell>
          <cell r="K107" t="str">
            <v>Southampton</v>
          </cell>
          <cell r="L107">
            <v>14</v>
          </cell>
          <cell r="M107">
            <v>0</v>
          </cell>
          <cell r="N107">
            <v>2</v>
          </cell>
          <cell r="O107">
            <v>10</v>
          </cell>
          <cell r="P107">
            <v>2</v>
          </cell>
          <cell r="Q107">
            <v>0</v>
          </cell>
        </row>
        <row r="108">
          <cell r="A108">
            <v>855</v>
          </cell>
          <cell r="B108" t="str">
            <v>Leicestershire</v>
          </cell>
          <cell r="C108">
            <v>228</v>
          </cell>
          <cell r="D108">
            <v>13</v>
          </cell>
          <cell r="E108">
            <v>18</v>
          </cell>
          <cell r="F108">
            <v>109</v>
          </cell>
          <cell r="G108">
            <v>25</v>
          </cell>
          <cell r="H108">
            <v>63</v>
          </cell>
          <cell r="J108">
            <v>855</v>
          </cell>
          <cell r="K108" t="str">
            <v>Leicestershire</v>
          </cell>
          <cell r="L108">
            <v>54</v>
          </cell>
          <cell r="M108">
            <v>5</v>
          </cell>
          <cell r="N108">
            <v>7</v>
          </cell>
          <cell r="O108">
            <v>30</v>
          </cell>
          <cell r="P108">
            <v>3</v>
          </cell>
          <cell r="Q108">
            <v>9</v>
          </cell>
        </row>
        <row r="109">
          <cell r="A109">
            <v>856</v>
          </cell>
          <cell r="B109" t="str">
            <v>Leicester</v>
          </cell>
          <cell r="C109">
            <v>87</v>
          </cell>
          <cell r="D109">
            <v>16</v>
          </cell>
          <cell r="E109">
            <v>14</v>
          </cell>
          <cell r="F109">
            <v>47</v>
          </cell>
          <cell r="G109">
            <v>7</v>
          </cell>
          <cell r="H109">
            <v>3</v>
          </cell>
          <cell r="J109">
            <v>856</v>
          </cell>
          <cell r="K109" t="str">
            <v>Leicester</v>
          </cell>
          <cell r="L109">
            <v>16</v>
          </cell>
          <cell r="M109">
            <v>0</v>
          </cell>
          <cell r="N109">
            <v>1</v>
          </cell>
          <cell r="O109">
            <v>12</v>
          </cell>
          <cell r="P109">
            <v>1</v>
          </cell>
          <cell r="Q109">
            <v>2</v>
          </cell>
        </row>
        <row r="110">
          <cell r="A110">
            <v>857</v>
          </cell>
          <cell r="B110" t="str">
            <v>Rutland</v>
          </cell>
          <cell r="C110">
            <v>18</v>
          </cell>
          <cell r="D110">
            <v>5</v>
          </cell>
          <cell r="E110">
            <v>6</v>
          </cell>
          <cell r="F110">
            <v>5</v>
          </cell>
          <cell r="G110">
            <v>2</v>
          </cell>
          <cell r="H110">
            <v>0</v>
          </cell>
          <cell r="J110">
            <v>857</v>
          </cell>
          <cell r="K110" t="str">
            <v>Rutland</v>
          </cell>
          <cell r="L110">
            <v>3</v>
          </cell>
          <cell r="M110">
            <v>1</v>
          </cell>
          <cell r="N110">
            <v>0</v>
          </cell>
          <cell r="O110">
            <v>1</v>
          </cell>
          <cell r="P110">
            <v>0</v>
          </cell>
          <cell r="Q110">
            <v>1</v>
          </cell>
        </row>
        <row r="111">
          <cell r="A111">
            <v>860</v>
          </cell>
          <cell r="B111" t="str">
            <v>Staffordshire</v>
          </cell>
          <cell r="C111">
            <v>313</v>
          </cell>
          <cell r="D111">
            <v>35</v>
          </cell>
          <cell r="E111">
            <v>49</v>
          </cell>
          <cell r="F111">
            <v>139</v>
          </cell>
          <cell r="G111">
            <v>23</v>
          </cell>
          <cell r="H111">
            <v>67</v>
          </cell>
          <cell r="J111">
            <v>860</v>
          </cell>
          <cell r="K111" t="str">
            <v>Staffordshire</v>
          </cell>
          <cell r="L111">
            <v>69</v>
          </cell>
          <cell r="M111">
            <v>1</v>
          </cell>
          <cell r="N111">
            <v>3</v>
          </cell>
          <cell r="O111">
            <v>18</v>
          </cell>
          <cell r="P111">
            <v>3</v>
          </cell>
          <cell r="Q111">
            <v>44</v>
          </cell>
        </row>
        <row r="112">
          <cell r="A112">
            <v>861</v>
          </cell>
          <cell r="B112" t="str">
            <v>Stoke-on-Trent</v>
          </cell>
          <cell r="C112">
            <v>88</v>
          </cell>
          <cell r="D112">
            <v>22</v>
          </cell>
          <cell r="E112">
            <v>15</v>
          </cell>
          <cell r="F112">
            <v>45</v>
          </cell>
          <cell r="G112">
            <v>3</v>
          </cell>
          <cell r="H112">
            <v>3</v>
          </cell>
          <cell r="J112">
            <v>861</v>
          </cell>
          <cell r="K112" t="str">
            <v>Stoke-on-Trent</v>
          </cell>
          <cell r="L112">
            <v>17</v>
          </cell>
          <cell r="M112">
            <v>2</v>
          </cell>
          <cell r="N112">
            <v>2</v>
          </cell>
          <cell r="O112">
            <v>10</v>
          </cell>
          <cell r="P112">
            <v>1</v>
          </cell>
          <cell r="Q112">
            <v>2</v>
          </cell>
        </row>
        <row r="113">
          <cell r="A113">
            <v>865</v>
          </cell>
          <cell r="B113" t="str">
            <v>Wiltshire</v>
          </cell>
          <cell r="C113">
            <v>217</v>
          </cell>
          <cell r="D113">
            <v>33</v>
          </cell>
          <cell r="E113">
            <v>35</v>
          </cell>
          <cell r="F113">
            <v>108</v>
          </cell>
          <cell r="G113">
            <v>16</v>
          </cell>
          <cell r="H113">
            <v>25</v>
          </cell>
          <cell r="J113">
            <v>865</v>
          </cell>
          <cell r="K113" t="str">
            <v>Wiltshire</v>
          </cell>
          <cell r="L113">
            <v>33</v>
          </cell>
          <cell r="M113">
            <v>4</v>
          </cell>
          <cell r="N113">
            <v>5</v>
          </cell>
          <cell r="O113">
            <v>18</v>
          </cell>
          <cell r="P113">
            <v>2</v>
          </cell>
          <cell r="Q113">
            <v>4</v>
          </cell>
        </row>
        <row r="114">
          <cell r="A114">
            <v>866</v>
          </cell>
          <cell r="B114" t="str">
            <v>Swindon</v>
          </cell>
          <cell r="C114">
            <v>69</v>
          </cell>
          <cell r="D114">
            <v>11</v>
          </cell>
          <cell r="E114">
            <v>5</v>
          </cell>
          <cell r="F114">
            <v>45</v>
          </cell>
          <cell r="G114">
            <v>4</v>
          </cell>
          <cell r="H114">
            <v>4</v>
          </cell>
          <cell r="J114">
            <v>866</v>
          </cell>
          <cell r="K114" t="str">
            <v>Swindon</v>
          </cell>
          <cell r="L114">
            <v>11</v>
          </cell>
          <cell r="M114">
            <v>1</v>
          </cell>
          <cell r="N114">
            <v>0</v>
          </cell>
          <cell r="O114">
            <v>9</v>
          </cell>
          <cell r="P114">
            <v>0</v>
          </cell>
          <cell r="Q114">
            <v>1</v>
          </cell>
        </row>
        <row r="115">
          <cell r="A115">
            <v>867</v>
          </cell>
          <cell r="B115" t="str">
            <v>Bracknell Forest</v>
          </cell>
          <cell r="C115">
            <v>33</v>
          </cell>
          <cell r="D115">
            <v>5</v>
          </cell>
          <cell r="E115">
            <v>6</v>
          </cell>
          <cell r="F115">
            <v>18</v>
          </cell>
          <cell r="G115">
            <v>2</v>
          </cell>
          <cell r="H115">
            <v>2</v>
          </cell>
          <cell r="J115">
            <v>867</v>
          </cell>
          <cell r="K115" t="str">
            <v>Bracknell Forest</v>
          </cell>
          <cell r="L115">
            <v>6</v>
          </cell>
          <cell r="M115">
            <v>1</v>
          </cell>
          <cell r="N115">
            <v>0</v>
          </cell>
          <cell r="O115">
            <v>3</v>
          </cell>
          <cell r="P115">
            <v>1</v>
          </cell>
          <cell r="Q115">
            <v>1</v>
          </cell>
        </row>
        <row r="116">
          <cell r="A116">
            <v>868</v>
          </cell>
          <cell r="B116" t="str">
            <v>Windsor and Maidenhead</v>
          </cell>
          <cell r="C116">
            <v>46</v>
          </cell>
          <cell r="D116">
            <v>3</v>
          </cell>
          <cell r="E116">
            <v>5</v>
          </cell>
          <cell r="F116">
            <v>25</v>
          </cell>
          <cell r="G116">
            <v>6</v>
          </cell>
          <cell r="H116">
            <v>7</v>
          </cell>
          <cell r="J116">
            <v>868</v>
          </cell>
          <cell r="K116" t="str">
            <v>Windsor and Maidenhead</v>
          </cell>
          <cell r="L116">
            <v>14</v>
          </cell>
          <cell r="M116">
            <v>2</v>
          </cell>
          <cell r="N116">
            <v>0</v>
          </cell>
          <cell r="O116">
            <v>7</v>
          </cell>
          <cell r="P116">
            <v>2</v>
          </cell>
          <cell r="Q116">
            <v>3</v>
          </cell>
        </row>
        <row r="117">
          <cell r="A117">
            <v>869</v>
          </cell>
          <cell r="B117" t="str">
            <v>West Berkshire</v>
          </cell>
          <cell r="C117">
            <v>68</v>
          </cell>
          <cell r="D117">
            <v>7</v>
          </cell>
          <cell r="E117">
            <v>13</v>
          </cell>
          <cell r="F117">
            <v>39</v>
          </cell>
          <cell r="G117">
            <v>6</v>
          </cell>
          <cell r="H117">
            <v>3</v>
          </cell>
          <cell r="J117">
            <v>869</v>
          </cell>
          <cell r="K117" t="str">
            <v>West Berkshire</v>
          </cell>
          <cell r="L117">
            <v>10</v>
          </cell>
          <cell r="M117">
            <v>0</v>
          </cell>
          <cell r="N117">
            <v>2</v>
          </cell>
          <cell r="O117">
            <v>4</v>
          </cell>
          <cell r="P117">
            <v>2</v>
          </cell>
          <cell r="Q117">
            <v>2</v>
          </cell>
        </row>
        <row r="118">
          <cell r="A118">
            <v>870</v>
          </cell>
          <cell r="B118" t="str">
            <v>Reading</v>
          </cell>
          <cell r="C118">
            <v>39</v>
          </cell>
          <cell r="D118">
            <v>1</v>
          </cell>
          <cell r="E118">
            <v>4</v>
          </cell>
          <cell r="F118">
            <v>21</v>
          </cell>
          <cell r="G118">
            <v>2</v>
          </cell>
          <cell r="H118">
            <v>11</v>
          </cell>
          <cell r="J118">
            <v>870</v>
          </cell>
          <cell r="K118" t="str">
            <v>Reading</v>
          </cell>
          <cell r="L118">
            <v>8</v>
          </cell>
          <cell r="M118">
            <v>2</v>
          </cell>
          <cell r="N118">
            <v>1</v>
          </cell>
          <cell r="O118">
            <v>4</v>
          </cell>
          <cell r="P118">
            <v>1</v>
          </cell>
          <cell r="Q118">
            <v>0</v>
          </cell>
        </row>
        <row r="119">
          <cell r="A119">
            <v>871</v>
          </cell>
          <cell r="B119" t="str">
            <v>Slough</v>
          </cell>
          <cell r="C119">
            <v>31</v>
          </cell>
          <cell r="D119">
            <v>2</v>
          </cell>
          <cell r="E119">
            <v>3</v>
          </cell>
          <cell r="F119">
            <v>20</v>
          </cell>
          <cell r="G119">
            <v>2</v>
          </cell>
          <cell r="H119">
            <v>4</v>
          </cell>
          <cell r="J119">
            <v>871</v>
          </cell>
          <cell r="K119" t="str">
            <v>Slough</v>
          </cell>
          <cell r="L119">
            <v>11</v>
          </cell>
          <cell r="M119">
            <v>1</v>
          </cell>
          <cell r="N119">
            <v>0</v>
          </cell>
          <cell r="O119">
            <v>5</v>
          </cell>
          <cell r="P119">
            <v>2</v>
          </cell>
          <cell r="Q119">
            <v>3</v>
          </cell>
        </row>
        <row r="120">
          <cell r="A120">
            <v>872</v>
          </cell>
          <cell r="B120" t="str">
            <v>Wokingham</v>
          </cell>
          <cell r="C120">
            <v>54</v>
          </cell>
          <cell r="D120">
            <v>2</v>
          </cell>
          <cell r="E120">
            <v>4</v>
          </cell>
          <cell r="F120">
            <v>26</v>
          </cell>
          <cell r="G120">
            <v>7</v>
          </cell>
          <cell r="H120">
            <v>15</v>
          </cell>
          <cell r="J120">
            <v>872</v>
          </cell>
          <cell r="K120" t="str">
            <v>Wokingham</v>
          </cell>
          <cell r="L120">
            <v>9</v>
          </cell>
          <cell r="M120">
            <v>0</v>
          </cell>
          <cell r="N120">
            <v>0</v>
          </cell>
          <cell r="O120">
            <v>6</v>
          </cell>
          <cell r="P120">
            <v>2</v>
          </cell>
          <cell r="Q120">
            <v>1</v>
          </cell>
        </row>
        <row r="121">
          <cell r="A121">
            <v>873</v>
          </cell>
          <cell r="B121" t="str">
            <v>Cambridgeshire</v>
          </cell>
          <cell r="C121">
            <v>207</v>
          </cell>
          <cell r="D121">
            <v>20</v>
          </cell>
          <cell r="E121">
            <v>26</v>
          </cell>
          <cell r="F121">
            <v>125</v>
          </cell>
          <cell r="G121">
            <v>19</v>
          </cell>
          <cell r="H121">
            <v>17</v>
          </cell>
          <cell r="J121">
            <v>873</v>
          </cell>
          <cell r="K121" t="str">
            <v>Cambridgeshire</v>
          </cell>
          <cell r="L121">
            <v>31</v>
          </cell>
          <cell r="M121">
            <v>1</v>
          </cell>
          <cell r="N121">
            <v>2</v>
          </cell>
          <cell r="O121">
            <v>17</v>
          </cell>
          <cell r="P121">
            <v>7</v>
          </cell>
          <cell r="Q121">
            <v>4</v>
          </cell>
        </row>
        <row r="122">
          <cell r="A122">
            <v>874</v>
          </cell>
          <cell r="B122" t="str">
            <v>Peterborough</v>
          </cell>
          <cell r="C122">
            <v>57</v>
          </cell>
          <cell r="D122">
            <v>9</v>
          </cell>
          <cell r="E122">
            <v>5</v>
          </cell>
          <cell r="F122">
            <v>37</v>
          </cell>
          <cell r="G122">
            <v>5</v>
          </cell>
          <cell r="H122">
            <v>1</v>
          </cell>
          <cell r="J122">
            <v>874</v>
          </cell>
          <cell r="K122" t="str">
            <v>Peterborough</v>
          </cell>
          <cell r="L122">
            <v>13</v>
          </cell>
          <cell r="M122">
            <v>3</v>
          </cell>
          <cell r="N122">
            <v>0</v>
          </cell>
          <cell r="O122">
            <v>8</v>
          </cell>
          <cell r="P122">
            <v>2</v>
          </cell>
          <cell r="Q122">
            <v>0</v>
          </cell>
        </row>
        <row r="123">
          <cell r="A123">
            <v>875</v>
          </cell>
          <cell r="B123" t="str">
            <v>Cheshire</v>
          </cell>
          <cell r="C123">
            <v>290</v>
          </cell>
          <cell r="D123">
            <v>41</v>
          </cell>
          <cell r="E123">
            <v>36</v>
          </cell>
          <cell r="F123">
            <v>154</v>
          </cell>
          <cell r="G123">
            <v>19</v>
          </cell>
          <cell r="H123">
            <v>40</v>
          </cell>
          <cell r="J123">
            <v>875</v>
          </cell>
          <cell r="K123" t="str">
            <v>Cheshire</v>
          </cell>
          <cell r="L123">
            <v>46</v>
          </cell>
          <cell r="M123">
            <v>5</v>
          </cell>
          <cell r="N123">
            <v>3</v>
          </cell>
          <cell r="O123">
            <v>24</v>
          </cell>
          <cell r="P123">
            <v>7</v>
          </cell>
          <cell r="Q123">
            <v>7</v>
          </cell>
        </row>
        <row r="124">
          <cell r="A124">
            <v>876</v>
          </cell>
          <cell r="B124" t="str">
            <v>Halton</v>
          </cell>
          <cell r="C124">
            <v>55</v>
          </cell>
          <cell r="D124">
            <v>20</v>
          </cell>
          <cell r="E124">
            <v>11</v>
          </cell>
          <cell r="F124">
            <v>19</v>
          </cell>
          <cell r="G124">
            <v>3</v>
          </cell>
          <cell r="H124">
            <v>2</v>
          </cell>
          <cell r="J124">
            <v>876</v>
          </cell>
          <cell r="K124" t="str">
            <v>Halton</v>
          </cell>
          <cell r="L124">
            <v>9</v>
          </cell>
          <cell r="M124">
            <v>2</v>
          </cell>
          <cell r="N124">
            <v>0</v>
          </cell>
          <cell r="O124">
            <v>5</v>
          </cell>
          <cell r="P124">
            <v>1</v>
          </cell>
          <cell r="Q124">
            <v>1</v>
          </cell>
        </row>
        <row r="125">
          <cell r="A125">
            <v>877</v>
          </cell>
          <cell r="B125" t="str">
            <v>Warrington</v>
          </cell>
          <cell r="C125">
            <v>75</v>
          </cell>
          <cell r="D125">
            <v>16</v>
          </cell>
          <cell r="E125">
            <v>7</v>
          </cell>
          <cell r="F125">
            <v>40</v>
          </cell>
          <cell r="G125">
            <v>3</v>
          </cell>
          <cell r="H125">
            <v>9</v>
          </cell>
          <cell r="J125">
            <v>877</v>
          </cell>
          <cell r="K125" t="str">
            <v>Warrington</v>
          </cell>
          <cell r="L125">
            <v>12</v>
          </cell>
          <cell r="M125">
            <v>0</v>
          </cell>
          <cell r="N125">
            <v>0</v>
          </cell>
          <cell r="O125">
            <v>9</v>
          </cell>
          <cell r="P125">
            <v>0</v>
          </cell>
          <cell r="Q125">
            <v>3</v>
          </cell>
        </row>
        <row r="126">
          <cell r="A126">
            <v>878</v>
          </cell>
          <cell r="B126" t="str">
            <v>Devon</v>
          </cell>
          <cell r="C126">
            <v>324</v>
          </cell>
          <cell r="D126">
            <v>23</v>
          </cell>
          <cell r="E126">
            <v>68</v>
          </cell>
          <cell r="F126">
            <v>152</v>
          </cell>
          <cell r="G126">
            <v>24</v>
          </cell>
          <cell r="H126">
            <v>57</v>
          </cell>
          <cell r="J126">
            <v>878</v>
          </cell>
          <cell r="K126" t="str">
            <v>Devon</v>
          </cell>
          <cell r="L126">
            <v>37</v>
          </cell>
          <cell r="M126">
            <v>0</v>
          </cell>
          <cell r="N126">
            <v>1</v>
          </cell>
          <cell r="O126">
            <v>24</v>
          </cell>
          <cell r="P126">
            <v>6</v>
          </cell>
          <cell r="Q126">
            <v>6</v>
          </cell>
        </row>
        <row r="127">
          <cell r="A127">
            <v>879</v>
          </cell>
          <cell r="B127" t="str">
            <v>Plymouth</v>
          </cell>
          <cell r="C127">
            <v>80</v>
          </cell>
          <cell r="D127">
            <v>21</v>
          </cell>
          <cell r="E127">
            <v>15</v>
          </cell>
          <cell r="F127">
            <v>39</v>
          </cell>
          <cell r="G127">
            <v>4</v>
          </cell>
          <cell r="H127">
            <v>1</v>
          </cell>
          <cell r="J127">
            <v>879</v>
          </cell>
          <cell r="K127" t="str">
            <v>Plymouth</v>
          </cell>
          <cell r="L127">
            <v>18</v>
          </cell>
          <cell r="M127">
            <v>3</v>
          </cell>
          <cell r="N127">
            <v>2</v>
          </cell>
          <cell r="O127">
            <v>9</v>
          </cell>
          <cell r="P127">
            <v>1</v>
          </cell>
          <cell r="Q127">
            <v>3</v>
          </cell>
        </row>
        <row r="128">
          <cell r="A128">
            <v>880</v>
          </cell>
          <cell r="B128" t="str">
            <v>Torbay</v>
          </cell>
          <cell r="C128">
            <v>33</v>
          </cell>
          <cell r="D128">
            <v>3</v>
          </cell>
          <cell r="E128">
            <v>2</v>
          </cell>
          <cell r="F128">
            <v>14</v>
          </cell>
          <cell r="G128">
            <v>7</v>
          </cell>
          <cell r="H128">
            <v>7</v>
          </cell>
          <cell r="J128">
            <v>880</v>
          </cell>
          <cell r="K128" t="str">
            <v>Torbay</v>
          </cell>
          <cell r="L128">
            <v>8</v>
          </cell>
          <cell r="M128">
            <v>0</v>
          </cell>
          <cell r="N128">
            <v>0</v>
          </cell>
          <cell r="O128">
            <v>8</v>
          </cell>
          <cell r="P128">
            <v>0</v>
          </cell>
          <cell r="Q128">
            <v>0</v>
          </cell>
        </row>
        <row r="129">
          <cell r="A129">
            <v>881</v>
          </cell>
          <cell r="B129" t="str">
            <v>Essex</v>
          </cell>
          <cell r="C129">
            <v>490</v>
          </cell>
          <cell r="D129">
            <v>41</v>
          </cell>
          <cell r="E129">
            <v>64</v>
          </cell>
          <cell r="F129">
            <v>281</v>
          </cell>
          <cell r="G129">
            <v>54</v>
          </cell>
          <cell r="H129">
            <v>50</v>
          </cell>
          <cell r="J129">
            <v>881</v>
          </cell>
          <cell r="K129" t="str">
            <v>Essex</v>
          </cell>
          <cell r="L129">
            <v>79</v>
          </cell>
          <cell r="M129">
            <v>9</v>
          </cell>
          <cell r="N129">
            <v>10</v>
          </cell>
          <cell r="O129">
            <v>51</v>
          </cell>
          <cell r="P129">
            <v>3</v>
          </cell>
          <cell r="Q129">
            <v>6</v>
          </cell>
        </row>
        <row r="130">
          <cell r="A130">
            <v>882</v>
          </cell>
          <cell r="B130" t="str">
            <v>Southend-on-Sea</v>
          </cell>
          <cell r="C130">
            <v>43</v>
          </cell>
          <cell r="D130">
            <v>1</v>
          </cell>
          <cell r="E130">
            <v>5</v>
          </cell>
          <cell r="F130">
            <v>31</v>
          </cell>
          <cell r="G130">
            <v>5</v>
          </cell>
          <cell r="H130">
            <v>1</v>
          </cell>
          <cell r="J130">
            <v>882</v>
          </cell>
          <cell r="K130" t="str">
            <v>Southend-on-Sea</v>
          </cell>
          <cell r="L130">
            <v>12</v>
          </cell>
          <cell r="M130">
            <v>1</v>
          </cell>
          <cell r="N130">
            <v>0</v>
          </cell>
          <cell r="O130">
            <v>8</v>
          </cell>
          <cell r="P130">
            <v>2</v>
          </cell>
          <cell r="Q130">
            <v>1</v>
          </cell>
        </row>
        <row r="131">
          <cell r="A131">
            <v>883</v>
          </cell>
          <cell r="B131" t="str">
            <v>Thurrock</v>
          </cell>
          <cell r="C131">
            <v>47</v>
          </cell>
          <cell r="D131">
            <v>3</v>
          </cell>
          <cell r="E131">
            <v>8</v>
          </cell>
          <cell r="F131">
            <v>31</v>
          </cell>
          <cell r="G131">
            <v>4</v>
          </cell>
          <cell r="H131">
            <v>1</v>
          </cell>
          <cell r="J131">
            <v>883</v>
          </cell>
          <cell r="K131" t="str">
            <v>Thurrock</v>
          </cell>
          <cell r="L131">
            <v>10</v>
          </cell>
          <cell r="M131">
            <v>1</v>
          </cell>
          <cell r="N131">
            <v>2</v>
          </cell>
          <cell r="O131">
            <v>7</v>
          </cell>
          <cell r="P131">
            <v>0</v>
          </cell>
          <cell r="Q131">
            <v>0</v>
          </cell>
        </row>
        <row r="132">
          <cell r="A132">
            <v>884</v>
          </cell>
          <cell r="B132" t="str">
            <v>Herefordshire</v>
          </cell>
          <cell r="C132">
            <v>85</v>
          </cell>
          <cell r="D132">
            <v>10</v>
          </cell>
          <cell r="E132">
            <v>19</v>
          </cell>
          <cell r="F132">
            <v>48</v>
          </cell>
          <cell r="G132">
            <v>3</v>
          </cell>
          <cell r="H132">
            <v>5</v>
          </cell>
          <cell r="J132">
            <v>884</v>
          </cell>
          <cell r="K132" t="str">
            <v>Herefordshire</v>
          </cell>
          <cell r="L132">
            <v>14</v>
          </cell>
          <cell r="M132">
            <v>3</v>
          </cell>
          <cell r="N132">
            <v>2</v>
          </cell>
          <cell r="O132">
            <v>6</v>
          </cell>
          <cell r="P132">
            <v>2</v>
          </cell>
          <cell r="Q132">
            <v>1</v>
          </cell>
        </row>
        <row r="133">
          <cell r="A133">
            <v>885</v>
          </cell>
          <cell r="B133" t="str">
            <v>Worcestershire</v>
          </cell>
          <cell r="C133">
            <v>197</v>
          </cell>
          <cell r="D133">
            <v>18</v>
          </cell>
          <cell r="E133">
            <v>32</v>
          </cell>
          <cell r="F133">
            <v>126</v>
          </cell>
          <cell r="G133">
            <v>11</v>
          </cell>
          <cell r="H133">
            <v>10</v>
          </cell>
          <cell r="J133">
            <v>885</v>
          </cell>
          <cell r="K133" t="str">
            <v>Worcestershire</v>
          </cell>
          <cell r="L133">
            <v>61</v>
          </cell>
          <cell r="M133">
            <v>10</v>
          </cell>
          <cell r="N133">
            <v>3</v>
          </cell>
          <cell r="O133">
            <v>39</v>
          </cell>
          <cell r="P133">
            <v>5</v>
          </cell>
          <cell r="Q133">
            <v>4</v>
          </cell>
        </row>
        <row r="134">
          <cell r="A134">
            <v>886</v>
          </cell>
          <cell r="B134" t="str">
            <v>Kent</v>
          </cell>
          <cell r="C134">
            <v>475</v>
          </cell>
          <cell r="D134">
            <v>23</v>
          </cell>
          <cell r="E134">
            <v>37</v>
          </cell>
          <cell r="F134">
            <v>270</v>
          </cell>
          <cell r="G134">
            <v>56</v>
          </cell>
          <cell r="H134">
            <v>89</v>
          </cell>
          <cell r="J134">
            <v>886</v>
          </cell>
          <cell r="K134" t="str">
            <v>Kent</v>
          </cell>
          <cell r="L134">
            <v>106</v>
          </cell>
          <cell r="M134">
            <v>10</v>
          </cell>
          <cell r="N134">
            <v>8</v>
          </cell>
          <cell r="O134">
            <v>56</v>
          </cell>
          <cell r="P134">
            <v>9</v>
          </cell>
          <cell r="Q134">
            <v>23</v>
          </cell>
        </row>
        <row r="135">
          <cell r="A135">
            <v>887</v>
          </cell>
          <cell r="B135" t="str">
            <v>Medway</v>
          </cell>
          <cell r="C135">
            <v>89</v>
          </cell>
          <cell r="D135">
            <v>8</v>
          </cell>
          <cell r="E135">
            <v>11</v>
          </cell>
          <cell r="F135">
            <v>43</v>
          </cell>
          <cell r="G135">
            <v>9</v>
          </cell>
          <cell r="H135">
            <v>18</v>
          </cell>
          <cell r="J135">
            <v>887</v>
          </cell>
          <cell r="K135" t="str">
            <v>Medway</v>
          </cell>
          <cell r="L135">
            <v>20</v>
          </cell>
          <cell r="M135">
            <v>2</v>
          </cell>
          <cell r="N135">
            <v>3</v>
          </cell>
          <cell r="O135">
            <v>14</v>
          </cell>
          <cell r="P135">
            <v>0</v>
          </cell>
          <cell r="Q135">
            <v>1</v>
          </cell>
        </row>
        <row r="136">
          <cell r="A136">
            <v>888</v>
          </cell>
          <cell r="B136" t="str">
            <v>Lancashire</v>
          </cell>
          <cell r="C136">
            <v>502</v>
          </cell>
          <cell r="D136">
            <v>72</v>
          </cell>
          <cell r="E136">
            <v>74</v>
          </cell>
          <cell r="F136">
            <v>227</v>
          </cell>
          <cell r="G136">
            <v>40</v>
          </cell>
          <cell r="H136">
            <v>89</v>
          </cell>
          <cell r="J136">
            <v>888</v>
          </cell>
          <cell r="K136" t="str">
            <v>Lancashire</v>
          </cell>
          <cell r="L136">
            <v>89</v>
          </cell>
          <cell r="M136">
            <v>7</v>
          </cell>
          <cell r="N136">
            <v>6</v>
          </cell>
          <cell r="O136">
            <v>43</v>
          </cell>
          <cell r="P136">
            <v>14</v>
          </cell>
          <cell r="Q136">
            <v>19</v>
          </cell>
        </row>
        <row r="137">
          <cell r="A137">
            <v>889</v>
          </cell>
          <cell r="B137" t="str">
            <v>Blackburn with Darwen</v>
          </cell>
          <cell r="C137">
            <v>59</v>
          </cell>
          <cell r="D137">
            <v>2</v>
          </cell>
          <cell r="E137">
            <v>4</v>
          </cell>
          <cell r="F137">
            <v>25</v>
          </cell>
          <cell r="G137">
            <v>10</v>
          </cell>
          <cell r="H137">
            <v>18</v>
          </cell>
          <cell r="J137">
            <v>889</v>
          </cell>
          <cell r="K137" t="str">
            <v>Blackburn with Darwen</v>
          </cell>
          <cell r="L137">
            <v>9</v>
          </cell>
          <cell r="M137">
            <v>0</v>
          </cell>
          <cell r="N137">
            <v>2</v>
          </cell>
          <cell r="O137">
            <v>5</v>
          </cell>
          <cell r="P137">
            <v>0</v>
          </cell>
          <cell r="Q137">
            <v>2</v>
          </cell>
        </row>
        <row r="138">
          <cell r="A138">
            <v>890</v>
          </cell>
          <cell r="B138" t="str">
            <v>Blackpool</v>
          </cell>
          <cell r="C138">
            <v>33</v>
          </cell>
          <cell r="D138">
            <v>1</v>
          </cell>
          <cell r="E138">
            <v>3</v>
          </cell>
          <cell r="F138">
            <v>12</v>
          </cell>
          <cell r="G138">
            <v>3</v>
          </cell>
          <cell r="H138">
            <v>14</v>
          </cell>
          <cell r="J138">
            <v>890</v>
          </cell>
          <cell r="K138" t="str">
            <v>Blackpool</v>
          </cell>
          <cell r="L138">
            <v>8</v>
          </cell>
          <cell r="M138">
            <v>1</v>
          </cell>
          <cell r="N138">
            <v>0</v>
          </cell>
          <cell r="O138">
            <v>2</v>
          </cell>
          <cell r="P138">
            <v>2</v>
          </cell>
          <cell r="Q138">
            <v>3</v>
          </cell>
        </row>
        <row r="139">
          <cell r="A139">
            <v>891</v>
          </cell>
          <cell r="B139" t="str">
            <v>Nottinghamshire</v>
          </cell>
          <cell r="C139">
            <v>315</v>
          </cell>
          <cell r="D139">
            <v>29</v>
          </cell>
          <cell r="E139">
            <v>50</v>
          </cell>
          <cell r="F139">
            <v>158</v>
          </cell>
          <cell r="G139">
            <v>27</v>
          </cell>
          <cell r="H139">
            <v>51</v>
          </cell>
          <cell r="J139">
            <v>891</v>
          </cell>
          <cell r="K139" t="str">
            <v>Nottinghamshire</v>
          </cell>
          <cell r="L139">
            <v>58</v>
          </cell>
          <cell r="M139">
            <v>12</v>
          </cell>
          <cell r="N139">
            <v>11</v>
          </cell>
          <cell r="O139">
            <v>25</v>
          </cell>
          <cell r="P139">
            <v>2</v>
          </cell>
          <cell r="Q139">
            <v>8</v>
          </cell>
        </row>
        <row r="140">
          <cell r="A140">
            <v>892</v>
          </cell>
          <cell r="B140" t="str">
            <v>Nottingham</v>
          </cell>
          <cell r="C140">
            <v>101</v>
          </cell>
          <cell r="D140">
            <v>16</v>
          </cell>
          <cell r="E140">
            <v>14</v>
          </cell>
          <cell r="F140">
            <v>52</v>
          </cell>
          <cell r="G140">
            <v>6</v>
          </cell>
          <cell r="H140">
            <v>13</v>
          </cell>
          <cell r="J140">
            <v>892</v>
          </cell>
          <cell r="K140" t="str">
            <v>Nottingham</v>
          </cell>
          <cell r="L140">
            <v>21</v>
          </cell>
          <cell r="M140">
            <v>8</v>
          </cell>
          <cell r="N140">
            <v>4</v>
          </cell>
          <cell r="O140">
            <v>7</v>
          </cell>
          <cell r="P140">
            <v>1</v>
          </cell>
          <cell r="Q140">
            <v>1</v>
          </cell>
        </row>
        <row r="141">
          <cell r="A141">
            <v>893</v>
          </cell>
          <cell r="B141" t="str">
            <v>Shropshire</v>
          </cell>
          <cell r="C141">
            <v>144</v>
          </cell>
          <cell r="D141">
            <v>19</v>
          </cell>
          <cell r="E141">
            <v>31</v>
          </cell>
          <cell r="F141">
            <v>66</v>
          </cell>
          <cell r="G141">
            <v>10</v>
          </cell>
          <cell r="H141">
            <v>18</v>
          </cell>
          <cell r="J141">
            <v>893</v>
          </cell>
          <cell r="K141" t="str">
            <v>Shropshire</v>
          </cell>
          <cell r="L141">
            <v>22</v>
          </cell>
          <cell r="M141">
            <v>1</v>
          </cell>
          <cell r="N141">
            <v>1</v>
          </cell>
          <cell r="O141">
            <v>14</v>
          </cell>
          <cell r="P141">
            <v>4</v>
          </cell>
          <cell r="Q141">
            <v>2</v>
          </cell>
        </row>
        <row r="142">
          <cell r="A142">
            <v>894</v>
          </cell>
          <cell r="B142" t="str">
            <v>Telford &amp; Wrekin</v>
          </cell>
          <cell r="C142">
            <v>66</v>
          </cell>
          <cell r="D142">
            <v>3</v>
          </cell>
          <cell r="E142">
            <v>11</v>
          </cell>
          <cell r="F142">
            <v>44</v>
          </cell>
          <cell r="G142">
            <v>3</v>
          </cell>
          <cell r="H142">
            <v>5</v>
          </cell>
          <cell r="J142">
            <v>894</v>
          </cell>
          <cell r="K142" t="str">
            <v>Telford &amp; Wrekin</v>
          </cell>
          <cell r="L142">
            <v>13</v>
          </cell>
          <cell r="M142">
            <v>3</v>
          </cell>
          <cell r="N142">
            <v>0</v>
          </cell>
          <cell r="O142">
            <v>4</v>
          </cell>
          <cell r="P142">
            <v>0</v>
          </cell>
          <cell r="Q142">
            <v>6</v>
          </cell>
        </row>
        <row r="143">
          <cell r="A143">
            <v>908</v>
          </cell>
          <cell r="B143" t="str">
            <v>Cornwall</v>
          </cell>
          <cell r="C143">
            <v>245</v>
          </cell>
          <cell r="D143">
            <v>20</v>
          </cell>
          <cell r="E143">
            <v>43</v>
          </cell>
          <cell r="F143">
            <v>100</v>
          </cell>
          <cell r="G143">
            <v>19</v>
          </cell>
          <cell r="H143">
            <v>63</v>
          </cell>
          <cell r="J143">
            <v>908</v>
          </cell>
          <cell r="K143" t="str">
            <v>Cornwall</v>
          </cell>
          <cell r="L143">
            <v>31</v>
          </cell>
          <cell r="M143">
            <v>0</v>
          </cell>
          <cell r="N143">
            <v>0</v>
          </cell>
          <cell r="O143">
            <v>11</v>
          </cell>
          <cell r="P143">
            <v>4</v>
          </cell>
          <cell r="Q143">
            <v>16</v>
          </cell>
        </row>
        <row r="144">
          <cell r="A144">
            <v>909</v>
          </cell>
          <cell r="B144" t="str">
            <v>Cumbria</v>
          </cell>
          <cell r="C144">
            <v>296</v>
          </cell>
          <cell r="D144">
            <v>38</v>
          </cell>
          <cell r="E144">
            <v>78</v>
          </cell>
          <cell r="F144">
            <v>125</v>
          </cell>
          <cell r="G144">
            <v>25</v>
          </cell>
          <cell r="H144">
            <v>30</v>
          </cell>
          <cell r="J144">
            <v>909</v>
          </cell>
          <cell r="K144" t="str">
            <v>Cumbria</v>
          </cell>
          <cell r="L144">
            <v>42</v>
          </cell>
          <cell r="M144">
            <v>9</v>
          </cell>
          <cell r="N144">
            <v>5</v>
          </cell>
          <cell r="O144">
            <v>22</v>
          </cell>
          <cell r="P144">
            <v>2</v>
          </cell>
          <cell r="Q144">
            <v>4</v>
          </cell>
        </row>
        <row r="145">
          <cell r="A145">
            <v>916</v>
          </cell>
          <cell r="B145" t="str">
            <v>Gloucestershire</v>
          </cell>
          <cell r="C145">
            <v>254</v>
          </cell>
          <cell r="D145">
            <v>21</v>
          </cell>
          <cell r="E145">
            <v>39</v>
          </cell>
          <cell r="F145">
            <v>140</v>
          </cell>
          <cell r="G145">
            <v>20</v>
          </cell>
          <cell r="H145">
            <v>34</v>
          </cell>
          <cell r="J145">
            <v>916</v>
          </cell>
          <cell r="K145" t="str">
            <v>Gloucestershire</v>
          </cell>
          <cell r="L145">
            <v>42</v>
          </cell>
          <cell r="M145">
            <v>2</v>
          </cell>
          <cell r="N145">
            <v>5</v>
          </cell>
          <cell r="O145">
            <v>22</v>
          </cell>
          <cell r="P145">
            <v>2</v>
          </cell>
          <cell r="Q145">
            <v>11</v>
          </cell>
        </row>
        <row r="146">
          <cell r="A146">
            <v>919</v>
          </cell>
          <cell r="B146" t="str">
            <v>Hertfordshire</v>
          </cell>
          <cell r="C146">
            <v>426</v>
          </cell>
          <cell r="D146">
            <v>42</v>
          </cell>
          <cell r="E146">
            <v>46</v>
          </cell>
          <cell r="F146">
            <v>274</v>
          </cell>
          <cell r="G146">
            <v>28</v>
          </cell>
          <cell r="H146">
            <v>36</v>
          </cell>
          <cell r="J146">
            <v>919</v>
          </cell>
          <cell r="K146" t="str">
            <v>Hertfordshire</v>
          </cell>
          <cell r="L146">
            <v>87</v>
          </cell>
          <cell r="M146">
            <v>12</v>
          </cell>
          <cell r="N146">
            <v>11</v>
          </cell>
          <cell r="O146">
            <v>48</v>
          </cell>
          <cell r="P146">
            <v>3</v>
          </cell>
          <cell r="Q146">
            <v>13</v>
          </cell>
        </row>
        <row r="147">
          <cell r="A147">
            <v>921</v>
          </cell>
          <cell r="B147" t="str">
            <v>Isle of Wight</v>
          </cell>
          <cell r="C147">
            <v>46</v>
          </cell>
          <cell r="D147">
            <v>1</v>
          </cell>
          <cell r="E147">
            <v>4</v>
          </cell>
          <cell r="F147">
            <v>27</v>
          </cell>
          <cell r="G147">
            <v>3</v>
          </cell>
          <cell r="H147">
            <v>11</v>
          </cell>
          <cell r="J147">
            <v>921</v>
          </cell>
          <cell r="K147" t="str">
            <v>Isle of Wight</v>
          </cell>
          <cell r="L147">
            <v>21</v>
          </cell>
          <cell r="M147">
            <v>0</v>
          </cell>
          <cell r="N147">
            <v>1</v>
          </cell>
          <cell r="O147">
            <v>14</v>
          </cell>
          <cell r="P147">
            <v>1</v>
          </cell>
          <cell r="Q147">
            <v>5</v>
          </cell>
        </row>
        <row r="148">
          <cell r="A148">
            <v>925</v>
          </cell>
          <cell r="B148" t="str">
            <v>Lincolnshire</v>
          </cell>
          <cell r="C148">
            <v>289</v>
          </cell>
          <cell r="D148">
            <v>37</v>
          </cell>
          <cell r="E148">
            <v>42</v>
          </cell>
          <cell r="F148">
            <v>152</v>
          </cell>
          <cell r="G148">
            <v>24</v>
          </cell>
          <cell r="H148">
            <v>34</v>
          </cell>
          <cell r="J148">
            <v>925</v>
          </cell>
          <cell r="K148" t="str">
            <v>Lincolnshire</v>
          </cell>
          <cell r="L148">
            <v>63</v>
          </cell>
          <cell r="M148">
            <v>9</v>
          </cell>
          <cell r="N148">
            <v>9</v>
          </cell>
          <cell r="O148">
            <v>31</v>
          </cell>
          <cell r="P148">
            <v>4</v>
          </cell>
          <cell r="Q148">
            <v>10</v>
          </cell>
        </row>
        <row r="149">
          <cell r="A149">
            <v>926</v>
          </cell>
          <cell r="B149" t="str">
            <v>Norfolk</v>
          </cell>
          <cell r="C149">
            <v>389</v>
          </cell>
          <cell r="D149">
            <v>21</v>
          </cell>
          <cell r="E149">
            <v>77</v>
          </cell>
          <cell r="F149">
            <v>175</v>
          </cell>
          <cell r="G149">
            <v>33</v>
          </cell>
          <cell r="H149">
            <v>83</v>
          </cell>
          <cell r="J149">
            <v>926</v>
          </cell>
          <cell r="K149" t="str">
            <v>Norfolk</v>
          </cell>
          <cell r="L149">
            <v>52</v>
          </cell>
          <cell r="M149">
            <v>5</v>
          </cell>
          <cell r="N149">
            <v>2</v>
          </cell>
          <cell r="O149">
            <v>24</v>
          </cell>
          <cell r="P149">
            <v>9</v>
          </cell>
          <cell r="Q149">
            <v>12</v>
          </cell>
        </row>
        <row r="150">
          <cell r="A150">
            <v>928</v>
          </cell>
          <cell r="B150" t="str">
            <v>Northamptonshire</v>
          </cell>
          <cell r="C150">
            <v>270</v>
          </cell>
          <cell r="D150">
            <v>27</v>
          </cell>
          <cell r="E150">
            <v>34</v>
          </cell>
          <cell r="F150">
            <v>151</v>
          </cell>
          <cell r="G150">
            <v>13</v>
          </cell>
          <cell r="H150">
            <v>45</v>
          </cell>
          <cell r="J150">
            <v>928</v>
          </cell>
          <cell r="K150" t="str">
            <v>Northamptonshire</v>
          </cell>
          <cell r="L150">
            <v>61</v>
          </cell>
          <cell r="M150">
            <v>9</v>
          </cell>
          <cell r="N150">
            <v>6</v>
          </cell>
          <cell r="O150">
            <v>30</v>
          </cell>
          <cell r="P150">
            <v>6</v>
          </cell>
          <cell r="Q150">
            <v>10</v>
          </cell>
        </row>
        <row r="151">
          <cell r="A151">
            <v>929</v>
          </cell>
          <cell r="B151" t="str">
            <v>Northumberland</v>
          </cell>
          <cell r="C151">
            <v>143</v>
          </cell>
          <cell r="D151">
            <v>24</v>
          </cell>
          <cell r="E151">
            <v>45</v>
          </cell>
          <cell r="F151">
            <v>60</v>
          </cell>
          <cell r="G151">
            <v>6</v>
          </cell>
          <cell r="H151">
            <v>8</v>
          </cell>
          <cell r="J151">
            <v>929</v>
          </cell>
          <cell r="K151" t="str">
            <v>Northumberland</v>
          </cell>
          <cell r="L151">
            <v>61</v>
          </cell>
          <cell r="M151">
            <v>14</v>
          </cell>
          <cell r="N151">
            <v>9</v>
          </cell>
          <cell r="O151">
            <v>31</v>
          </cell>
          <cell r="P151">
            <v>3</v>
          </cell>
          <cell r="Q151">
            <v>4</v>
          </cell>
        </row>
        <row r="152">
          <cell r="A152">
            <v>931</v>
          </cell>
          <cell r="B152" t="str">
            <v>Oxfordshire</v>
          </cell>
          <cell r="C152">
            <v>233</v>
          </cell>
          <cell r="D152">
            <v>25</v>
          </cell>
          <cell r="E152">
            <v>38</v>
          </cell>
          <cell r="F152">
            <v>132</v>
          </cell>
          <cell r="G152">
            <v>15</v>
          </cell>
          <cell r="H152">
            <v>23</v>
          </cell>
          <cell r="J152">
            <v>931</v>
          </cell>
          <cell r="K152" t="str">
            <v>Oxfordshire</v>
          </cell>
          <cell r="L152">
            <v>45</v>
          </cell>
          <cell r="M152">
            <v>5</v>
          </cell>
          <cell r="N152">
            <v>8</v>
          </cell>
          <cell r="O152">
            <v>26</v>
          </cell>
          <cell r="P152">
            <v>2</v>
          </cell>
          <cell r="Q152">
            <v>4</v>
          </cell>
        </row>
        <row r="153">
          <cell r="A153">
            <v>933</v>
          </cell>
          <cell r="B153" t="str">
            <v>Somerset</v>
          </cell>
          <cell r="C153">
            <v>224</v>
          </cell>
          <cell r="D153">
            <v>11</v>
          </cell>
          <cell r="E153">
            <v>31</v>
          </cell>
          <cell r="F153">
            <v>132</v>
          </cell>
          <cell r="G153">
            <v>24</v>
          </cell>
          <cell r="H153">
            <v>26</v>
          </cell>
          <cell r="J153">
            <v>933</v>
          </cell>
          <cell r="K153" t="str">
            <v>Somerset</v>
          </cell>
          <cell r="L153">
            <v>39</v>
          </cell>
          <cell r="M153">
            <v>6</v>
          </cell>
          <cell r="N153">
            <v>4</v>
          </cell>
          <cell r="O153">
            <v>25</v>
          </cell>
          <cell r="P153">
            <v>3</v>
          </cell>
          <cell r="Q153">
            <v>1</v>
          </cell>
        </row>
        <row r="154">
          <cell r="A154">
            <v>935</v>
          </cell>
          <cell r="B154" t="str">
            <v>Suffolk</v>
          </cell>
          <cell r="C154">
            <v>256</v>
          </cell>
          <cell r="D154">
            <v>28</v>
          </cell>
          <cell r="E154">
            <v>66</v>
          </cell>
          <cell r="F154">
            <v>137</v>
          </cell>
          <cell r="G154">
            <v>5</v>
          </cell>
          <cell r="H154">
            <v>20</v>
          </cell>
          <cell r="J154">
            <v>935</v>
          </cell>
          <cell r="K154" t="str">
            <v>Suffolk</v>
          </cell>
          <cell r="L154">
            <v>78</v>
          </cell>
          <cell r="M154">
            <v>4</v>
          </cell>
          <cell r="N154">
            <v>9</v>
          </cell>
          <cell r="O154">
            <v>53</v>
          </cell>
          <cell r="P154">
            <v>4</v>
          </cell>
          <cell r="Q154">
            <v>8</v>
          </cell>
        </row>
        <row r="155">
          <cell r="A155">
            <v>936</v>
          </cell>
          <cell r="B155" t="str">
            <v>Surrey</v>
          </cell>
          <cell r="C155">
            <v>327</v>
          </cell>
          <cell r="D155">
            <v>54</v>
          </cell>
          <cell r="E155">
            <v>51</v>
          </cell>
          <cell r="F155">
            <v>184</v>
          </cell>
          <cell r="G155">
            <v>19</v>
          </cell>
          <cell r="H155">
            <v>19</v>
          </cell>
          <cell r="J155">
            <v>936</v>
          </cell>
          <cell r="K155" t="str">
            <v>Surrey</v>
          </cell>
          <cell r="L155">
            <v>53</v>
          </cell>
          <cell r="M155">
            <v>4</v>
          </cell>
          <cell r="N155">
            <v>6</v>
          </cell>
          <cell r="O155">
            <v>27</v>
          </cell>
          <cell r="P155">
            <v>4</v>
          </cell>
          <cell r="Q155">
            <v>12</v>
          </cell>
        </row>
        <row r="156">
          <cell r="A156">
            <v>937</v>
          </cell>
          <cell r="B156" t="str">
            <v>Warwickshire</v>
          </cell>
          <cell r="C156">
            <v>200</v>
          </cell>
          <cell r="D156">
            <v>22</v>
          </cell>
          <cell r="E156">
            <v>27</v>
          </cell>
          <cell r="F156">
            <v>118</v>
          </cell>
          <cell r="G156">
            <v>12</v>
          </cell>
          <cell r="H156">
            <v>21</v>
          </cell>
          <cell r="J156">
            <v>937</v>
          </cell>
          <cell r="K156" t="str">
            <v>Warwickshire</v>
          </cell>
          <cell r="L156">
            <v>37</v>
          </cell>
          <cell r="M156">
            <v>5</v>
          </cell>
          <cell r="N156">
            <v>5</v>
          </cell>
          <cell r="O156">
            <v>20</v>
          </cell>
          <cell r="P156">
            <v>2</v>
          </cell>
          <cell r="Q156">
            <v>5</v>
          </cell>
        </row>
        <row r="157">
          <cell r="A157">
            <v>938</v>
          </cell>
          <cell r="B157" t="str">
            <v>West Sussex</v>
          </cell>
          <cell r="C157">
            <v>250</v>
          </cell>
          <cell r="D157">
            <v>27</v>
          </cell>
          <cell r="E157">
            <v>39</v>
          </cell>
          <cell r="F157">
            <v>142</v>
          </cell>
          <cell r="G157">
            <v>20</v>
          </cell>
          <cell r="H157">
            <v>22</v>
          </cell>
          <cell r="J157">
            <v>938</v>
          </cell>
          <cell r="K157" t="str">
            <v>West Sussex</v>
          </cell>
          <cell r="L157">
            <v>39</v>
          </cell>
          <cell r="M157">
            <v>5</v>
          </cell>
          <cell r="N157">
            <v>6</v>
          </cell>
          <cell r="O157">
            <v>23</v>
          </cell>
          <cell r="P157">
            <v>2</v>
          </cell>
          <cell r="Q157">
            <v>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row r="8">
          <cell r="A8">
            <v>201</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row r="8">
          <cell r="A8">
            <v>201</v>
          </cell>
        </row>
      </sheetData>
      <sheetData sheetId="44"/>
      <sheetData sheetId="45"/>
      <sheetData sheetId="46"/>
      <sheetData sheetId="47"/>
      <sheetData sheetId="4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Codes"/>
      <sheetName val="Income"/>
      <sheetName val="INC"/>
      <sheetName val="S251Final"/>
      <sheetName val="S251Draft"/>
      <sheetName val="SchoolsForum"/>
      <sheetName val="Recoupment"/>
      <sheetName val="Schools"/>
      <sheetName val="EarlyYears"/>
      <sheetName val="HighNeeds"/>
      <sheetName val="Central"/>
      <sheetName val="CostCentres"/>
      <sheetName val="DSG"/>
      <sheetName val="IntegraCCs"/>
      <sheetName val="OriginalTRANS"/>
      <sheetName val="Siobhan"/>
      <sheetName val="EYProjections"/>
      <sheetName val="Sheet2"/>
      <sheetName val="BudgetTRANS"/>
      <sheetName val="Sheet2 (2)"/>
      <sheetName val="Sheet2_(2)"/>
    </sheetNames>
    <sheetDataSet>
      <sheetData sheetId="0"/>
      <sheetData sheetId="1" refreshError="1">
        <row r="13">
          <cell r="C13" t="str">
            <v>1.7.1</v>
          </cell>
          <cell r="D13" t="str">
            <v>Estimated Dedicated Schools Grant for 2014-15</v>
          </cell>
        </row>
        <row r="14">
          <cell r="C14" t="str">
            <v>1.7.2</v>
          </cell>
          <cell r="D14" t="str">
            <v>Dedicated Schools Grant b/f from 2013/14</v>
          </cell>
        </row>
        <row r="15">
          <cell r="C15" t="str">
            <v>1.7.3</v>
          </cell>
          <cell r="D15" t="str">
            <v>Dedicated Schools Grant c/f to 2015-16</v>
          </cell>
        </row>
        <row r="16">
          <cell r="C16" t="str">
            <v>1.7.4</v>
          </cell>
          <cell r="D16" t="str">
            <v>EFA funding</v>
          </cell>
        </row>
        <row r="17">
          <cell r="C17" t="str">
            <v>1.7.5</v>
          </cell>
          <cell r="D17" t="str">
            <v>Local authority additional contribution</v>
          </cell>
        </row>
        <row r="18">
          <cell r="C18" t="str">
            <v>1.7.6</v>
          </cell>
          <cell r="D18" t="str">
            <v>Total funding supporting the Schools Budget 1.7.1 - 1.7.5</v>
          </cell>
        </row>
        <row r="20">
          <cell r="C20" t="str">
            <v>1.8.1</v>
          </cell>
          <cell r="D20" t="str">
            <v>Academy recoupment</v>
          </cell>
        </row>
      </sheetData>
      <sheetData sheetId="2"/>
      <sheetData sheetId="3"/>
      <sheetData sheetId="4">
        <row r="1">
          <cell r="C1">
            <v>1</v>
          </cell>
        </row>
      </sheetData>
      <sheetData sheetId="5"/>
      <sheetData sheetId="6"/>
      <sheetData sheetId="7" refreshError="1">
        <row r="11">
          <cell r="C11" t="str">
            <v>1.0.1</v>
          </cell>
          <cell r="D11" t="str">
            <v>Individual Schools Budget before Academy recoupment</v>
          </cell>
          <cell r="E11">
            <v>0</v>
          </cell>
          <cell r="F11">
            <v>0</v>
          </cell>
          <cell r="G11">
            <v>0</v>
          </cell>
          <cell r="H11">
            <v>0</v>
          </cell>
          <cell r="I11" t="str">
            <v>Individual Schools Budget before Academy recoupment</v>
          </cell>
          <cell r="J11">
            <v>0</v>
          </cell>
          <cell r="K11">
            <v>0</v>
          </cell>
          <cell r="L11">
            <v>0</v>
          </cell>
          <cell r="M11">
            <v>0</v>
          </cell>
          <cell r="N11">
            <v>0</v>
          </cell>
          <cell r="O11">
            <v>0</v>
          </cell>
          <cell r="P11">
            <v>237860961.61178011</v>
          </cell>
          <cell r="Q11">
            <v>241711328.59710491</v>
          </cell>
          <cell r="R11">
            <v>1647981.4166666665</v>
          </cell>
          <cell r="S11">
            <v>243359310.01377156</v>
          </cell>
          <cell r="T11">
            <v>0</v>
          </cell>
          <cell r="U11">
            <v>0</v>
          </cell>
          <cell r="V11">
            <v>243359310.01377156</v>
          </cell>
          <cell r="W11">
            <v>19060940</v>
          </cell>
          <cell r="X11">
            <v>122041483.98104502</v>
          </cell>
          <cell r="Y11">
            <v>96704055.36605987</v>
          </cell>
          <cell r="Z11">
            <v>4560830.666666667</v>
          </cell>
          <cell r="AA11">
            <v>992000</v>
          </cell>
          <cell r="AB11">
            <v>0</v>
          </cell>
          <cell r="AC11">
            <v>73264851.745923445</v>
          </cell>
          <cell r="AD11">
            <v>9261973</v>
          </cell>
          <cell r="AE11">
            <v>128181508.16937834</v>
          </cell>
          <cell r="AF11">
            <v>90166069.117798865</v>
          </cell>
          <cell r="AG11">
            <v>4331084.833333334</v>
          </cell>
          <cell r="AH11">
            <v>944000</v>
          </cell>
          <cell r="AI11">
            <v>0</v>
          </cell>
          <cell r="AJ11">
            <v>232884635.12051052</v>
          </cell>
          <cell r="AK11">
            <v>10474674.893261019</v>
          </cell>
          <cell r="AL11">
            <v>0</v>
          </cell>
          <cell r="AM11">
            <v>243359310.01377156</v>
          </cell>
          <cell r="AN11">
            <v>10474674.893261019</v>
          </cell>
          <cell r="AO11">
            <v>0</v>
          </cell>
          <cell r="AP11">
            <v>0</v>
          </cell>
          <cell r="AQ11">
            <v>0</v>
          </cell>
          <cell r="AR11">
            <v>0</v>
          </cell>
          <cell r="AS11">
            <v>0</v>
          </cell>
          <cell r="AT11">
            <v>0</v>
          </cell>
          <cell r="AU11">
            <v>0</v>
          </cell>
          <cell r="AV11">
            <v>0</v>
          </cell>
          <cell r="AW11">
            <v>0</v>
          </cell>
          <cell r="AX11">
            <v>0</v>
          </cell>
          <cell r="AY11">
            <v>0</v>
          </cell>
          <cell r="AZ11">
            <v>0</v>
          </cell>
        </row>
        <row r="12">
          <cell r="F12">
            <v>0</v>
          </cell>
          <cell r="G12">
            <v>0</v>
          </cell>
          <cell r="H12">
            <v>0</v>
          </cell>
          <cell r="I12">
            <v>0</v>
          </cell>
          <cell r="J12">
            <v>0</v>
          </cell>
          <cell r="K12">
            <v>0</v>
          </cell>
          <cell r="L12">
            <v>0</v>
          </cell>
          <cell r="M12">
            <v>0</v>
          </cell>
          <cell r="N12">
            <v>0</v>
          </cell>
          <cell r="O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row>
        <row r="13">
          <cell r="F13">
            <v>0</v>
          </cell>
          <cell r="G13">
            <v>0</v>
          </cell>
          <cell r="H13">
            <v>0</v>
          </cell>
          <cell r="I13">
            <v>0</v>
          </cell>
          <cell r="J13">
            <v>0</v>
          </cell>
          <cell r="K13">
            <v>0</v>
          </cell>
          <cell r="L13">
            <v>0</v>
          </cell>
          <cell r="M13">
            <v>0</v>
          </cell>
          <cell r="N13">
            <v>0</v>
          </cell>
          <cell r="O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row>
        <row r="14">
          <cell r="C14" t="str">
            <v>1.1.1</v>
          </cell>
          <cell r="D14" t="str">
            <v>Contingencies</v>
          </cell>
          <cell r="E14" t="str">
            <v>1.1.1</v>
          </cell>
          <cell r="F14">
            <v>0</v>
          </cell>
          <cell r="G14">
            <v>0</v>
          </cell>
          <cell r="H14">
            <v>0</v>
          </cell>
          <cell r="I14" t="str">
            <v>Contingencies</v>
          </cell>
          <cell r="J14">
            <v>0</v>
          </cell>
          <cell r="K14">
            <v>0</v>
          </cell>
          <cell r="L14">
            <v>0</v>
          </cell>
          <cell r="M14">
            <v>0</v>
          </cell>
          <cell r="N14">
            <v>0</v>
          </cell>
          <cell r="O14">
            <v>0</v>
          </cell>
          <cell r="P14">
            <v>472087</v>
          </cell>
          <cell r="Q14">
            <v>0</v>
          </cell>
          <cell r="R14">
            <v>385000</v>
          </cell>
          <cell r="S14">
            <v>385000</v>
          </cell>
          <cell r="T14">
            <v>0</v>
          </cell>
          <cell r="U14">
            <v>0</v>
          </cell>
          <cell r="V14">
            <v>597000</v>
          </cell>
          <cell r="W14">
            <v>0</v>
          </cell>
          <cell r="X14">
            <v>347000</v>
          </cell>
          <cell r="Y14">
            <v>250000</v>
          </cell>
          <cell r="Z14">
            <v>0</v>
          </cell>
          <cell r="AA14">
            <v>0</v>
          </cell>
          <cell r="AB14">
            <v>0</v>
          </cell>
          <cell r="AC14">
            <v>0</v>
          </cell>
          <cell r="AD14">
            <v>0</v>
          </cell>
          <cell r="AE14">
            <v>0</v>
          </cell>
          <cell r="AF14">
            <v>0</v>
          </cell>
          <cell r="AG14">
            <v>0</v>
          </cell>
          <cell r="AH14">
            <v>0</v>
          </cell>
          <cell r="AI14">
            <v>0</v>
          </cell>
          <cell r="AJ14">
            <v>0</v>
          </cell>
          <cell r="AK14">
            <v>385000</v>
          </cell>
          <cell r="AL14">
            <v>212000</v>
          </cell>
          <cell r="AM14">
            <v>597000</v>
          </cell>
          <cell r="AN14">
            <v>597000</v>
          </cell>
          <cell r="AO14">
            <v>0</v>
          </cell>
          <cell r="AP14">
            <v>0</v>
          </cell>
          <cell r="AQ14">
            <v>0</v>
          </cell>
          <cell r="AR14">
            <v>0</v>
          </cell>
          <cell r="AS14">
            <v>0</v>
          </cell>
          <cell r="AT14">
            <v>0</v>
          </cell>
          <cell r="AU14">
            <v>0</v>
          </cell>
          <cell r="AV14">
            <v>0</v>
          </cell>
          <cell r="AW14">
            <v>0</v>
          </cell>
          <cell r="AX14">
            <v>0</v>
          </cell>
          <cell r="AY14">
            <v>0</v>
          </cell>
          <cell r="AZ14">
            <v>0</v>
          </cell>
        </row>
        <row r="15">
          <cell r="C15" t="str">
            <v>1.1.2</v>
          </cell>
          <cell r="D15" t="str">
            <v>Behaviour Support Services</v>
          </cell>
          <cell r="E15" t="str">
            <v>1.1.2</v>
          </cell>
          <cell r="F15">
            <v>0</v>
          </cell>
          <cell r="G15">
            <v>0</v>
          </cell>
          <cell r="H15">
            <v>0</v>
          </cell>
          <cell r="I15" t="str">
            <v>Behaviour Support Services</v>
          </cell>
          <cell r="J15">
            <v>0</v>
          </cell>
          <cell r="K15">
            <v>0</v>
          </cell>
          <cell r="L15">
            <v>0</v>
          </cell>
          <cell r="M15">
            <v>0</v>
          </cell>
          <cell r="N15">
            <v>0</v>
          </cell>
          <cell r="O15">
            <v>0</v>
          </cell>
          <cell r="P15">
            <v>127660</v>
          </cell>
          <cell r="Q15">
            <v>76326.325833333307</v>
          </cell>
          <cell r="R15">
            <v>0</v>
          </cell>
          <cell r="S15">
            <v>76326.325833333307</v>
          </cell>
          <cell r="T15">
            <v>0</v>
          </cell>
          <cell r="U15">
            <v>0</v>
          </cell>
          <cell r="V15">
            <v>76326.325833333307</v>
          </cell>
          <cell r="W15">
            <v>0</v>
          </cell>
          <cell r="X15">
            <v>76326.325833333307</v>
          </cell>
          <cell r="Y15">
            <v>0</v>
          </cell>
          <cell r="Z15">
            <v>0</v>
          </cell>
          <cell r="AA15">
            <v>0</v>
          </cell>
          <cell r="AB15">
            <v>0</v>
          </cell>
          <cell r="AC15">
            <v>0</v>
          </cell>
          <cell r="AD15">
            <v>0</v>
          </cell>
          <cell r="AE15">
            <v>0</v>
          </cell>
          <cell r="AF15">
            <v>0</v>
          </cell>
          <cell r="AG15">
            <v>0</v>
          </cell>
          <cell r="AH15">
            <v>0</v>
          </cell>
          <cell r="AI15">
            <v>0</v>
          </cell>
          <cell r="AJ15">
            <v>0</v>
          </cell>
          <cell r="AK15">
            <v>76326.325833333307</v>
          </cell>
          <cell r="AL15">
            <v>0</v>
          </cell>
          <cell r="AM15">
            <v>76326.325833333307</v>
          </cell>
          <cell r="AN15">
            <v>76326.325833333307</v>
          </cell>
          <cell r="AO15">
            <v>0</v>
          </cell>
          <cell r="AP15">
            <v>0</v>
          </cell>
          <cell r="AQ15">
            <v>0</v>
          </cell>
          <cell r="AR15">
            <v>0</v>
          </cell>
          <cell r="AS15">
            <v>0</v>
          </cell>
          <cell r="AT15">
            <v>0</v>
          </cell>
          <cell r="AU15">
            <v>0</v>
          </cell>
          <cell r="AV15">
            <v>0</v>
          </cell>
          <cell r="AW15">
            <v>0</v>
          </cell>
          <cell r="AX15">
            <v>0</v>
          </cell>
          <cell r="AY15">
            <v>0</v>
          </cell>
          <cell r="AZ15">
            <v>0</v>
          </cell>
        </row>
        <row r="16">
          <cell r="C16" t="str">
            <v>1.1.3</v>
          </cell>
          <cell r="D16" t="str">
            <v>Support to UPEG and bilingual learners</v>
          </cell>
          <cell r="E16" t="str">
            <v>1.1.3</v>
          </cell>
          <cell r="F16">
            <v>0</v>
          </cell>
          <cell r="G16">
            <v>0</v>
          </cell>
          <cell r="H16">
            <v>0</v>
          </cell>
          <cell r="I16" t="str">
            <v>Support to UPEG and bilingual learners</v>
          </cell>
          <cell r="J16">
            <v>0</v>
          </cell>
          <cell r="K16">
            <v>0</v>
          </cell>
          <cell r="L16">
            <v>0</v>
          </cell>
          <cell r="M16">
            <v>0</v>
          </cell>
          <cell r="N16">
            <v>0</v>
          </cell>
          <cell r="O16">
            <v>0</v>
          </cell>
          <cell r="P16">
            <v>84786</v>
          </cell>
          <cell r="Q16">
            <v>86190.988707375815</v>
          </cell>
          <cell r="R16">
            <v>0</v>
          </cell>
          <cell r="S16">
            <v>86190.988707375815</v>
          </cell>
          <cell r="T16">
            <v>0</v>
          </cell>
          <cell r="U16">
            <v>0</v>
          </cell>
          <cell r="V16">
            <v>86190.57</v>
          </cell>
          <cell r="W16">
            <v>0</v>
          </cell>
          <cell r="X16">
            <v>65238.57</v>
          </cell>
          <cell r="Y16">
            <v>20952</v>
          </cell>
          <cell r="Z16">
            <v>0</v>
          </cell>
          <cell r="AA16">
            <v>0</v>
          </cell>
          <cell r="AB16">
            <v>0</v>
          </cell>
          <cell r="AC16">
            <v>0</v>
          </cell>
          <cell r="AD16">
            <v>0</v>
          </cell>
          <cell r="AE16">
            <v>0</v>
          </cell>
          <cell r="AF16">
            <v>0</v>
          </cell>
          <cell r="AG16">
            <v>0</v>
          </cell>
          <cell r="AH16">
            <v>0</v>
          </cell>
          <cell r="AI16">
            <v>0</v>
          </cell>
          <cell r="AJ16">
            <v>0</v>
          </cell>
          <cell r="AK16">
            <v>86190.988707375815</v>
          </cell>
          <cell r="AL16">
            <v>0</v>
          </cell>
          <cell r="AM16">
            <v>86190.988707375815</v>
          </cell>
          <cell r="AN16">
            <v>86190.988707375815</v>
          </cell>
          <cell r="AO16">
            <v>0</v>
          </cell>
          <cell r="AP16">
            <v>0</v>
          </cell>
          <cell r="AQ16">
            <v>0</v>
          </cell>
          <cell r="AR16">
            <v>0</v>
          </cell>
          <cell r="AS16">
            <v>0</v>
          </cell>
          <cell r="AT16">
            <v>0</v>
          </cell>
          <cell r="AU16">
            <v>0</v>
          </cell>
          <cell r="AV16">
            <v>0</v>
          </cell>
          <cell r="AW16">
            <v>0</v>
          </cell>
          <cell r="AX16">
            <v>0</v>
          </cell>
          <cell r="AY16">
            <v>0</v>
          </cell>
          <cell r="AZ16">
            <v>0</v>
          </cell>
        </row>
        <row r="17">
          <cell r="C17" t="str">
            <v>1.1.4</v>
          </cell>
          <cell r="D17" t="str">
            <v>Free school meals eligibility</v>
          </cell>
          <cell r="E17" t="str">
            <v>1.1.4</v>
          </cell>
          <cell r="F17">
            <v>0</v>
          </cell>
          <cell r="G17">
            <v>0</v>
          </cell>
          <cell r="H17">
            <v>0</v>
          </cell>
          <cell r="I17" t="str">
            <v>Free school meals eligibility</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row>
        <row r="18">
          <cell r="C18" t="str">
            <v>1.1.5</v>
          </cell>
          <cell r="D18" t="str">
            <v>Insurance</v>
          </cell>
          <cell r="E18" t="str">
            <v>1.1.5</v>
          </cell>
          <cell r="F18">
            <v>0</v>
          </cell>
          <cell r="G18">
            <v>0</v>
          </cell>
          <cell r="H18">
            <v>0</v>
          </cell>
          <cell r="I18" t="str">
            <v>Insurance</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row>
        <row r="19">
          <cell r="C19" t="str">
            <v>1.1.6</v>
          </cell>
          <cell r="D19" t="str">
            <v>Museum and Library services</v>
          </cell>
          <cell r="E19" t="str">
            <v>1.1.6</v>
          </cell>
          <cell r="F19">
            <v>0</v>
          </cell>
          <cell r="G19">
            <v>0</v>
          </cell>
          <cell r="H19">
            <v>0</v>
          </cell>
          <cell r="I19" t="str">
            <v>Museum and Library services</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row>
        <row r="20">
          <cell r="C20" t="str">
            <v>1.1.7</v>
          </cell>
          <cell r="D20" t="str">
            <v>Licenses/subscriptions</v>
          </cell>
          <cell r="E20" t="str">
            <v>1.1.7</v>
          </cell>
          <cell r="F20">
            <v>0</v>
          </cell>
          <cell r="G20">
            <v>0</v>
          </cell>
          <cell r="H20">
            <v>0</v>
          </cell>
          <cell r="I20" t="str">
            <v>Licenses/subscriptions</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row>
        <row r="21">
          <cell r="C21" t="str">
            <v>1.1.8</v>
          </cell>
          <cell r="D21" t="str">
            <v>Staff costs - supply cover excluding cover for facility time</v>
          </cell>
          <cell r="E21" t="str">
            <v>1.1.8</v>
          </cell>
          <cell r="F21">
            <v>0</v>
          </cell>
          <cell r="G21">
            <v>0</v>
          </cell>
          <cell r="H21">
            <v>0</v>
          </cell>
          <cell r="I21" t="str">
            <v>Staff costs - supply cover excluding cover for facility time</v>
          </cell>
          <cell r="J21">
            <v>0</v>
          </cell>
          <cell r="K21">
            <v>0</v>
          </cell>
          <cell r="L21">
            <v>0</v>
          </cell>
          <cell r="M21">
            <v>0</v>
          </cell>
          <cell r="N21">
            <v>0</v>
          </cell>
          <cell r="O21">
            <v>0</v>
          </cell>
          <cell r="P21">
            <v>48748.5</v>
          </cell>
          <cell r="Q21">
            <v>46518.060416666682</v>
          </cell>
          <cell r="R21">
            <v>0</v>
          </cell>
          <cell r="S21">
            <v>46518.060416666682</v>
          </cell>
          <cell r="T21">
            <v>0</v>
          </cell>
          <cell r="U21">
            <v>0</v>
          </cell>
          <cell r="V21">
            <v>46518.060000000005</v>
          </cell>
          <cell r="W21">
            <v>0</v>
          </cell>
          <cell r="X21">
            <v>41966.8</v>
          </cell>
          <cell r="Y21">
            <v>4551.26</v>
          </cell>
          <cell r="Z21">
            <v>0</v>
          </cell>
          <cell r="AA21">
            <v>0</v>
          </cell>
          <cell r="AB21">
            <v>0</v>
          </cell>
          <cell r="AC21">
            <v>0</v>
          </cell>
          <cell r="AD21">
            <v>0</v>
          </cell>
          <cell r="AE21">
            <v>0</v>
          </cell>
          <cell r="AF21">
            <v>0</v>
          </cell>
          <cell r="AG21">
            <v>0</v>
          </cell>
          <cell r="AH21">
            <v>0</v>
          </cell>
          <cell r="AI21">
            <v>0</v>
          </cell>
          <cell r="AJ21">
            <v>0</v>
          </cell>
          <cell r="AK21">
            <v>46518.060416666682</v>
          </cell>
          <cell r="AL21">
            <v>0</v>
          </cell>
          <cell r="AM21">
            <v>46518.060416666682</v>
          </cell>
          <cell r="AN21">
            <v>46518.060416666682</v>
          </cell>
          <cell r="AO21">
            <v>0</v>
          </cell>
          <cell r="AP21">
            <v>0</v>
          </cell>
          <cell r="AQ21">
            <v>0</v>
          </cell>
          <cell r="AR21">
            <v>0</v>
          </cell>
          <cell r="AS21">
            <v>0</v>
          </cell>
          <cell r="AT21">
            <v>0</v>
          </cell>
          <cell r="AU21">
            <v>0</v>
          </cell>
          <cell r="AV21">
            <v>0</v>
          </cell>
          <cell r="AW21">
            <v>0</v>
          </cell>
          <cell r="AX21">
            <v>0</v>
          </cell>
          <cell r="AY21">
            <v>0</v>
          </cell>
          <cell r="AZ21">
            <v>0</v>
          </cell>
        </row>
        <row r="22">
          <cell r="C22" t="str">
            <v>1.1.9</v>
          </cell>
          <cell r="D22" t="str">
            <v>Staff costs - supply cover for facility time</v>
          </cell>
          <cell r="E22" t="str">
            <v>1.1.9</v>
          </cell>
          <cell r="F22">
            <v>0</v>
          </cell>
          <cell r="G22">
            <v>0</v>
          </cell>
          <cell r="H22">
            <v>0</v>
          </cell>
          <cell r="I22" t="str">
            <v>Staff costs - supply cover for facility time</v>
          </cell>
          <cell r="J22">
            <v>0</v>
          </cell>
          <cell r="K22">
            <v>0</v>
          </cell>
          <cell r="L22">
            <v>0</v>
          </cell>
          <cell r="M22">
            <v>0</v>
          </cell>
          <cell r="N22">
            <v>0</v>
          </cell>
          <cell r="O22">
            <v>0</v>
          </cell>
          <cell r="P22">
            <v>48748.5</v>
          </cell>
          <cell r="Q22">
            <v>46518.060416666682</v>
          </cell>
          <cell r="R22">
            <v>0</v>
          </cell>
          <cell r="S22">
            <v>46518.060416666682</v>
          </cell>
          <cell r="T22">
            <v>0</v>
          </cell>
          <cell r="U22">
            <v>0</v>
          </cell>
          <cell r="V22">
            <v>46518.060000000005</v>
          </cell>
          <cell r="W22">
            <v>0</v>
          </cell>
          <cell r="X22">
            <v>41966.8</v>
          </cell>
          <cell r="Y22">
            <v>4551.26</v>
          </cell>
          <cell r="Z22">
            <v>0</v>
          </cell>
          <cell r="AA22">
            <v>0</v>
          </cell>
          <cell r="AB22">
            <v>0</v>
          </cell>
          <cell r="AC22">
            <v>0</v>
          </cell>
          <cell r="AD22">
            <v>0</v>
          </cell>
          <cell r="AE22">
            <v>0</v>
          </cell>
          <cell r="AF22">
            <v>0</v>
          </cell>
          <cell r="AG22">
            <v>0</v>
          </cell>
          <cell r="AH22">
            <v>0</v>
          </cell>
          <cell r="AI22">
            <v>0</v>
          </cell>
          <cell r="AJ22">
            <v>0</v>
          </cell>
          <cell r="AK22">
            <v>46518.060416666682</v>
          </cell>
          <cell r="AL22">
            <v>0</v>
          </cell>
          <cell r="AM22">
            <v>46518.060416666682</v>
          </cell>
          <cell r="AN22">
            <v>46518.060416666682</v>
          </cell>
          <cell r="AO22">
            <v>0</v>
          </cell>
          <cell r="AP22">
            <v>0</v>
          </cell>
          <cell r="AQ22">
            <v>0</v>
          </cell>
          <cell r="AR22">
            <v>0</v>
          </cell>
          <cell r="AS22">
            <v>0</v>
          </cell>
          <cell r="AT22">
            <v>0</v>
          </cell>
          <cell r="AU22">
            <v>0</v>
          </cell>
          <cell r="AV22">
            <v>0</v>
          </cell>
          <cell r="AW22">
            <v>0</v>
          </cell>
          <cell r="AX22">
            <v>0</v>
          </cell>
          <cell r="AY22">
            <v>0</v>
          </cell>
          <cell r="AZ22">
            <v>0</v>
          </cell>
        </row>
      </sheetData>
      <sheetData sheetId="8" refreshError="1">
        <row r="12">
          <cell r="C12" t="str">
            <v>1.3.1</v>
          </cell>
          <cell r="D12" t="str">
            <v>Central expenditure on children under 5</v>
          </cell>
          <cell r="E12">
            <v>0</v>
          </cell>
          <cell r="F12">
            <v>0</v>
          </cell>
          <cell r="G12">
            <v>0</v>
          </cell>
          <cell r="H12">
            <v>0</v>
          </cell>
          <cell r="I12">
            <v>0</v>
          </cell>
          <cell r="J12">
            <v>0</v>
          </cell>
          <cell r="K12">
            <v>0</v>
          </cell>
          <cell r="L12">
            <v>0</v>
          </cell>
          <cell r="M12">
            <v>0</v>
          </cell>
          <cell r="N12">
            <v>400000</v>
          </cell>
          <cell r="O12">
            <v>854072</v>
          </cell>
          <cell r="P12">
            <v>5924914</v>
          </cell>
          <cell r="Q12">
            <v>1254072</v>
          </cell>
          <cell r="R12">
            <v>0</v>
          </cell>
          <cell r="S12">
            <v>1254072</v>
          </cell>
          <cell r="T12">
            <v>0</v>
          </cell>
          <cell r="U12">
            <v>0</v>
          </cell>
          <cell r="V12">
            <v>1254072</v>
          </cell>
          <cell r="W12">
            <v>1254072</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1254072</v>
          </cell>
          <cell r="AN12">
            <v>0</v>
          </cell>
        </row>
        <row r="13">
          <cell r="D13">
            <v>0</v>
          </cell>
          <cell r="F13">
            <v>0</v>
          </cell>
          <cell r="G13">
            <v>0</v>
          </cell>
          <cell r="H13">
            <v>0</v>
          </cell>
          <cell r="I13">
            <v>0</v>
          </cell>
          <cell r="AE13">
            <v>0</v>
          </cell>
        </row>
        <row r="14">
          <cell r="F14">
            <v>0</v>
          </cell>
          <cell r="G14">
            <v>0</v>
          </cell>
          <cell r="H14">
            <v>0</v>
          </cell>
          <cell r="I14">
            <v>0</v>
          </cell>
        </row>
        <row r="15">
          <cell r="E15">
            <v>0</v>
          </cell>
          <cell r="F15">
            <v>0</v>
          </cell>
          <cell r="G15">
            <v>0</v>
          </cell>
          <cell r="H15">
            <v>0</v>
          </cell>
          <cell r="I15">
            <v>0</v>
          </cell>
        </row>
      </sheetData>
      <sheetData sheetId="9" refreshError="1">
        <row r="12">
          <cell r="C12" t="str">
            <v>1.2.1</v>
          </cell>
          <cell r="D12" t="str">
            <v>Top-up funding - maintained schools</v>
          </cell>
          <cell r="E12">
            <v>0</v>
          </cell>
          <cell r="F12">
            <v>0</v>
          </cell>
          <cell r="G12">
            <v>0</v>
          </cell>
          <cell r="H12">
            <v>0</v>
          </cell>
          <cell r="I12">
            <v>0</v>
          </cell>
          <cell r="J12">
            <v>0</v>
          </cell>
          <cell r="K12">
            <v>0</v>
          </cell>
          <cell r="L12">
            <v>0</v>
          </cell>
          <cell r="M12">
            <v>0</v>
          </cell>
          <cell r="N12">
            <v>0</v>
          </cell>
          <cell r="O12">
            <v>0</v>
          </cell>
          <cell r="P12">
            <v>17181887</v>
          </cell>
          <cell r="Q12">
            <v>16966667.352280855</v>
          </cell>
          <cell r="R12">
            <v>0</v>
          </cell>
          <cell r="S12">
            <v>16966667.352280855</v>
          </cell>
          <cell r="T12">
            <v>0</v>
          </cell>
          <cell r="U12">
            <v>0</v>
          </cell>
          <cell r="V12">
            <v>17296449.352280855</v>
          </cell>
          <cell r="W12">
            <v>149143</v>
          </cell>
          <cell r="X12">
            <v>7133336.6598886605</v>
          </cell>
          <cell r="Y12">
            <v>2159336.1655851132</v>
          </cell>
          <cell r="Z12">
            <v>6851471.5268070819</v>
          </cell>
          <cell r="AA12">
            <v>1003162</v>
          </cell>
          <cell r="AB12">
            <v>0</v>
          </cell>
          <cell r="AC12">
            <v>0</v>
          </cell>
          <cell r="AD12">
            <v>25146</v>
          </cell>
          <cell r="AE12">
            <v>6358698.0729999999</v>
          </cell>
          <cell r="AF12">
            <v>1280114.2</v>
          </cell>
          <cell r="AG12">
            <v>4480494.6900000004</v>
          </cell>
          <cell r="AH12">
            <v>949580</v>
          </cell>
          <cell r="AI12">
            <v>0</v>
          </cell>
          <cell r="AJ12">
            <v>13094032.963</v>
          </cell>
          <cell r="AK12">
            <v>0</v>
          </cell>
          <cell r="AL12">
            <v>329782</v>
          </cell>
          <cell r="AM12">
            <v>17296449.352280855</v>
          </cell>
          <cell r="AN12">
            <v>0</v>
          </cell>
        </row>
        <row r="13">
          <cell r="C13" t="str">
            <v>1.2.2</v>
          </cell>
          <cell r="D13" t="str">
            <v>Top-up funding - academies, free schools and colleges</v>
          </cell>
          <cell r="E13">
            <v>0</v>
          </cell>
          <cell r="F13">
            <v>0</v>
          </cell>
          <cell r="G13">
            <v>0</v>
          </cell>
          <cell r="H13">
            <v>0</v>
          </cell>
          <cell r="I13">
            <v>0</v>
          </cell>
          <cell r="J13">
            <v>0</v>
          </cell>
          <cell r="K13">
            <v>0</v>
          </cell>
          <cell r="L13">
            <v>0</v>
          </cell>
          <cell r="M13">
            <v>0</v>
          </cell>
          <cell r="N13">
            <v>0</v>
          </cell>
          <cell r="O13">
            <v>0</v>
          </cell>
          <cell r="P13">
            <v>5174161</v>
          </cell>
          <cell r="Q13">
            <v>5526774.8019640362</v>
          </cell>
          <cell r="R13">
            <v>0</v>
          </cell>
          <cell r="S13">
            <v>5526774.8019640362</v>
          </cell>
          <cell r="T13">
            <v>0</v>
          </cell>
          <cell r="U13">
            <v>0</v>
          </cell>
          <cell r="V13">
            <v>6236398.8846913092</v>
          </cell>
          <cell r="W13">
            <v>0</v>
          </cell>
          <cell r="X13">
            <v>3045681.64</v>
          </cell>
          <cell r="Y13">
            <v>2198311.161964037</v>
          </cell>
          <cell r="Z13">
            <v>43000</v>
          </cell>
          <cell r="AA13">
            <v>0</v>
          </cell>
          <cell r="AB13">
            <v>949406.08272727276</v>
          </cell>
          <cell r="AC13">
            <v>0</v>
          </cell>
          <cell r="AD13">
            <v>0</v>
          </cell>
          <cell r="AE13">
            <v>750266.17</v>
          </cell>
          <cell r="AF13">
            <v>3960282.06</v>
          </cell>
          <cell r="AG13">
            <v>0</v>
          </cell>
          <cell r="AH13">
            <v>0</v>
          </cell>
          <cell r="AI13">
            <v>0</v>
          </cell>
          <cell r="AJ13">
            <v>4710548.2300000004</v>
          </cell>
          <cell r="AK13">
            <v>0</v>
          </cell>
          <cell r="AL13">
            <v>709624.08272727276</v>
          </cell>
          <cell r="AM13">
            <v>6236398.8846913092</v>
          </cell>
          <cell r="AN13">
            <v>0</v>
          </cell>
        </row>
        <row r="14">
          <cell r="C14" t="str">
            <v>1.2.3</v>
          </cell>
          <cell r="D14" t="str">
            <v>Top-up and other funding - non-maintained and independent providers</v>
          </cell>
          <cell r="E14">
            <v>0</v>
          </cell>
          <cell r="F14">
            <v>0</v>
          </cell>
          <cell r="G14">
            <v>0</v>
          </cell>
          <cell r="H14">
            <v>0</v>
          </cell>
          <cell r="I14">
            <v>0</v>
          </cell>
          <cell r="J14">
            <v>0</v>
          </cell>
          <cell r="K14">
            <v>0</v>
          </cell>
          <cell r="L14">
            <v>0</v>
          </cell>
          <cell r="M14">
            <v>0</v>
          </cell>
          <cell r="N14">
            <v>0</v>
          </cell>
          <cell r="O14">
            <v>0</v>
          </cell>
          <cell r="P14">
            <v>12438269.69090909</v>
          </cell>
          <cell r="Q14">
            <v>11788269.69090909</v>
          </cell>
          <cell r="R14">
            <v>300000</v>
          </cell>
          <cell r="S14">
            <v>12088269.69090909</v>
          </cell>
          <cell r="T14">
            <v>0</v>
          </cell>
          <cell r="U14">
            <v>0</v>
          </cell>
          <cell r="V14">
            <v>11138863.608181817</v>
          </cell>
          <cell r="W14">
            <v>200640</v>
          </cell>
          <cell r="X14">
            <v>383500</v>
          </cell>
          <cell r="Y14">
            <v>904500</v>
          </cell>
          <cell r="Z14">
            <v>7995650</v>
          </cell>
          <cell r="AA14">
            <v>112500</v>
          </cell>
          <cell r="AB14">
            <v>1542073.6081818182</v>
          </cell>
          <cell r="AC14">
            <v>0</v>
          </cell>
          <cell r="AD14">
            <v>0</v>
          </cell>
          <cell r="AE14">
            <v>0</v>
          </cell>
          <cell r="AF14">
            <v>0</v>
          </cell>
          <cell r="AG14">
            <v>0</v>
          </cell>
          <cell r="AH14">
            <v>0</v>
          </cell>
          <cell r="AI14">
            <v>0</v>
          </cell>
          <cell r="AJ14">
            <v>0</v>
          </cell>
          <cell r="AK14">
            <v>0</v>
          </cell>
          <cell r="AL14">
            <v>-949406.08272727276</v>
          </cell>
          <cell r="AM14">
            <v>11138863.608181817</v>
          </cell>
          <cell r="AN14">
            <v>0</v>
          </cell>
        </row>
        <row r="15">
          <cell r="C15" t="str">
            <v>1.2.4</v>
          </cell>
          <cell r="D15" t="str">
            <v>Additional high needs targeted funding for mainstream schools and academies</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row>
        <row r="16">
          <cell r="C16" t="str">
            <v>1.2.5</v>
          </cell>
          <cell r="D16" t="str">
            <v>SEN support services</v>
          </cell>
          <cell r="E16">
            <v>0</v>
          </cell>
          <cell r="F16">
            <v>0</v>
          </cell>
          <cell r="G16">
            <v>0</v>
          </cell>
          <cell r="H16">
            <v>0</v>
          </cell>
          <cell r="I16">
            <v>0</v>
          </cell>
          <cell r="J16">
            <v>0</v>
          </cell>
          <cell r="K16">
            <v>0</v>
          </cell>
          <cell r="L16">
            <v>0</v>
          </cell>
          <cell r="M16">
            <v>0</v>
          </cell>
          <cell r="N16">
            <v>0</v>
          </cell>
          <cell r="O16">
            <v>0</v>
          </cell>
          <cell r="P16">
            <v>3260743</v>
          </cell>
          <cell r="Q16">
            <v>3163893</v>
          </cell>
          <cell r="R16">
            <v>0</v>
          </cell>
          <cell r="S16">
            <v>3163893</v>
          </cell>
          <cell r="T16">
            <v>0</v>
          </cell>
          <cell r="U16">
            <v>0</v>
          </cell>
          <cell r="V16">
            <v>3073893</v>
          </cell>
          <cell r="W16">
            <v>1518542.5519934106</v>
          </cell>
          <cell r="X16">
            <v>807539.39138217177</v>
          </cell>
          <cell r="Y16">
            <v>448249.46682566416</v>
          </cell>
          <cell r="Z16">
            <v>299561.58979875338</v>
          </cell>
          <cell r="AA16">
            <v>0</v>
          </cell>
          <cell r="AB16">
            <v>0</v>
          </cell>
          <cell r="AC16">
            <v>0</v>
          </cell>
          <cell r="AD16">
            <v>0</v>
          </cell>
          <cell r="AE16">
            <v>0</v>
          </cell>
          <cell r="AF16">
            <v>0</v>
          </cell>
          <cell r="AG16">
            <v>0</v>
          </cell>
          <cell r="AH16">
            <v>0</v>
          </cell>
          <cell r="AI16">
            <v>0</v>
          </cell>
          <cell r="AJ16">
            <v>0</v>
          </cell>
          <cell r="AK16">
            <v>0</v>
          </cell>
          <cell r="AL16">
            <v>-90000</v>
          </cell>
          <cell r="AM16">
            <v>3073893</v>
          </cell>
          <cell r="AN16">
            <v>0</v>
          </cell>
        </row>
        <row r="17">
          <cell r="C17" t="str">
            <v>1.2.6</v>
          </cell>
          <cell r="D17" t="str">
            <v>Hospital education services</v>
          </cell>
          <cell r="E17">
            <v>0</v>
          </cell>
          <cell r="F17">
            <v>0</v>
          </cell>
          <cell r="G17">
            <v>0</v>
          </cell>
          <cell r="H17">
            <v>0</v>
          </cell>
          <cell r="I17">
            <v>0</v>
          </cell>
          <cell r="J17">
            <v>0</v>
          </cell>
          <cell r="K17">
            <v>0</v>
          </cell>
          <cell r="L17">
            <v>0</v>
          </cell>
          <cell r="M17">
            <v>0</v>
          </cell>
          <cell r="N17">
            <v>0</v>
          </cell>
          <cell r="O17">
            <v>0</v>
          </cell>
          <cell r="P17">
            <v>844381</v>
          </cell>
          <cell r="Q17">
            <v>438006</v>
          </cell>
          <cell r="R17">
            <v>0</v>
          </cell>
          <cell r="S17">
            <v>438006</v>
          </cell>
          <cell r="T17">
            <v>0</v>
          </cell>
          <cell r="U17">
            <v>0</v>
          </cell>
          <cell r="V17">
            <v>438006</v>
          </cell>
          <cell r="W17">
            <v>0</v>
          </cell>
          <cell r="X17">
            <v>0</v>
          </cell>
          <cell r="Y17">
            <v>0</v>
          </cell>
          <cell r="Z17">
            <v>0</v>
          </cell>
          <cell r="AA17">
            <v>438006</v>
          </cell>
          <cell r="AB17">
            <v>0</v>
          </cell>
          <cell r="AC17">
            <v>0</v>
          </cell>
          <cell r="AD17">
            <v>0</v>
          </cell>
          <cell r="AE17">
            <v>0</v>
          </cell>
          <cell r="AF17">
            <v>0</v>
          </cell>
          <cell r="AG17">
            <v>0</v>
          </cell>
          <cell r="AH17">
            <v>438006</v>
          </cell>
          <cell r="AI17">
            <v>0</v>
          </cell>
          <cell r="AJ17">
            <v>438006</v>
          </cell>
          <cell r="AK17">
            <v>0</v>
          </cell>
          <cell r="AL17">
            <v>0</v>
          </cell>
          <cell r="AM17">
            <v>438006</v>
          </cell>
          <cell r="AN17">
            <v>0</v>
          </cell>
        </row>
        <row r="18">
          <cell r="C18" t="str">
            <v>1.2.7</v>
          </cell>
          <cell r="D18" t="str">
            <v>Other alternative provision services</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row>
        <row r="19">
          <cell r="C19" t="str">
            <v>1.2.8</v>
          </cell>
          <cell r="D19" t="str">
            <v>Support for inclusion</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row>
        <row r="20">
          <cell r="C20" t="str">
            <v>1.2.9</v>
          </cell>
          <cell r="D20" t="str">
            <v>Special schools and PRUs in financial difficulty</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row>
        <row r="21">
          <cell r="C21" t="str">
            <v>1.2.10</v>
          </cell>
          <cell r="D21" t="str">
            <v>PFI/BSF costs as special schools and AP/PRUs</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row>
        <row r="22">
          <cell r="C22" t="str">
            <v>1.2.11</v>
          </cell>
          <cell r="D22" t="str">
            <v>Direct payments (SEN and disability)</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row>
        <row r="23">
          <cell r="C23" t="str">
            <v>1.2.12</v>
          </cell>
          <cell r="D23" t="str">
            <v>Carbon reduction commitment allowances (PRUs)</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row>
      </sheetData>
      <sheetData sheetId="10" refreshError="1">
        <row r="11">
          <cell r="D11" t="str">
            <v>Central Provision within Schools Budget</v>
          </cell>
        </row>
        <row r="12">
          <cell r="C12" t="str">
            <v>1.4.1</v>
          </cell>
          <cell r="D12" t="str">
            <v>Contribution to combined budgets</v>
          </cell>
          <cell r="E12">
            <v>0</v>
          </cell>
          <cell r="F12">
            <v>0</v>
          </cell>
          <cell r="G12">
            <v>0</v>
          </cell>
          <cell r="H12">
            <v>0</v>
          </cell>
          <cell r="I12">
            <v>0</v>
          </cell>
          <cell r="J12">
            <v>0</v>
          </cell>
          <cell r="K12">
            <v>0</v>
          </cell>
          <cell r="L12">
            <v>0</v>
          </cell>
          <cell r="M12">
            <v>0</v>
          </cell>
          <cell r="N12">
            <v>0</v>
          </cell>
          <cell r="O12">
            <v>0</v>
          </cell>
          <cell r="P12">
            <v>777892</v>
          </cell>
          <cell r="Q12">
            <v>777892</v>
          </cell>
          <cell r="R12">
            <v>0</v>
          </cell>
          <cell r="S12">
            <v>777892</v>
          </cell>
          <cell r="T12">
            <v>0</v>
          </cell>
          <cell r="U12">
            <v>0</v>
          </cell>
          <cell r="V12">
            <v>777892</v>
          </cell>
          <cell r="W12">
            <v>492078.96005007648</v>
          </cell>
          <cell r="X12">
            <v>154178.78135104611</v>
          </cell>
          <cell r="Y12">
            <v>120390.96344758281</v>
          </cell>
          <cell r="Z12">
            <v>5621.6475756473083</v>
          </cell>
          <cell r="AA12">
            <v>5621.6475756473083</v>
          </cell>
          <cell r="AB12">
            <v>0</v>
          </cell>
          <cell r="AC12">
            <v>0</v>
          </cell>
          <cell r="AD12">
            <v>0</v>
          </cell>
          <cell r="AE12">
            <v>0</v>
          </cell>
          <cell r="AF12">
            <v>0</v>
          </cell>
          <cell r="AG12">
            <v>0</v>
          </cell>
          <cell r="AH12">
            <v>0</v>
          </cell>
          <cell r="AI12">
            <v>0</v>
          </cell>
          <cell r="AJ12">
            <v>0</v>
          </cell>
          <cell r="AK12">
            <v>777892</v>
          </cell>
          <cell r="AL12">
            <v>0</v>
          </cell>
          <cell r="AM12">
            <v>777892</v>
          </cell>
          <cell r="AN12">
            <v>0</v>
          </cell>
        </row>
        <row r="13">
          <cell r="C13" t="str">
            <v>1.4.2</v>
          </cell>
          <cell r="D13" t="str">
            <v>School Admissions</v>
          </cell>
          <cell r="E13">
            <v>0</v>
          </cell>
          <cell r="F13">
            <v>0</v>
          </cell>
          <cell r="G13">
            <v>0</v>
          </cell>
          <cell r="H13">
            <v>0</v>
          </cell>
          <cell r="I13">
            <v>0</v>
          </cell>
          <cell r="J13">
            <v>0</v>
          </cell>
          <cell r="K13">
            <v>0</v>
          </cell>
          <cell r="L13">
            <v>0</v>
          </cell>
          <cell r="M13">
            <v>0</v>
          </cell>
          <cell r="N13">
            <v>0</v>
          </cell>
          <cell r="O13">
            <v>0</v>
          </cell>
          <cell r="P13">
            <v>361200</v>
          </cell>
          <cell r="Q13">
            <v>361200</v>
          </cell>
          <cell r="R13">
            <v>0</v>
          </cell>
          <cell r="S13">
            <v>361200</v>
          </cell>
          <cell r="T13">
            <v>0</v>
          </cell>
          <cell r="U13">
            <v>0</v>
          </cell>
          <cell r="V13">
            <v>361200</v>
          </cell>
          <cell r="W13">
            <v>21493.954837009049</v>
          </cell>
          <cell r="X13">
            <v>182083.70969159124</v>
          </cell>
          <cell r="Y13">
            <v>157622.33547139968</v>
          </cell>
          <cell r="Z13">
            <v>0</v>
          </cell>
          <cell r="AA13">
            <v>0</v>
          </cell>
          <cell r="AB13">
            <v>0</v>
          </cell>
          <cell r="AC13">
            <v>0</v>
          </cell>
          <cell r="AD13">
            <v>0</v>
          </cell>
          <cell r="AE13">
            <v>0</v>
          </cell>
          <cell r="AF13">
            <v>0</v>
          </cell>
          <cell r="AG13">
            <v>0</v>
          </cell>
          <cell r="AH13">
            <v>0</v>
          </cell>
          <cell r="AI13">
            <v>0</v>
          </cell>
          <cell r="AJ13">
            <v>0</v>
          </cell>
          <cell r="AK13">
            <v>361200</v>
          </cell>
          <cell r="AL13">
            <v>0</v>
          </cell>
          <cell r="AM13">
            <v>361200</v>
          </cell>
          <cell r="AN13">
            <v>0</v>
          </cell>
        </row>
        <row r="14">
          <cell r="C14" t="str">
            <v>1.4.3</v>
          </cell>
          <cell r="D14" t="str">
            <v>Servicing of schools forums</v>
          </cell>
          <cell r="E14">
            <v>0</v>
          </cell>
          <cell r="F14">
            <v>0</v>
          </cell>
          <cell r="G14">
            <v>0</v>
          </cell>
          <cell r="H14">
            <v>0</v>
          </cell>
          <cell r="I14">
            <v>0</v>
          </cell>
          <cell r="J14">
            <v>0</v>
          </cell>
          <cell r="K14">
            <v>0</v>
          </cell>
          <cell r="L14">
            <v>0</v>
          </cell>
          <cell r="M14">
            <v>0</v>
          </cell>
          <cell r="N14">
            <v>0</v>
          </cell>
          <cell r="O14">
            <v>0</v>
          </cell>
          <cell r="P14">
            <v>34680</v>
          </cell>
          <cell r="Q14">
            <v>34680</v>
          </cell>
          <cell r="R14">
            <v>0</v>
          </cell>
          <cell r="S14">
            <v>34680</v>
          </cell>
          <cell r="T14">
            <v>0</v>
          </cell>
          <cell r="U14">
            <v>0</v>
          </cell>
          <cell r="V14">
            <v>34679.999999999993</v>
          </cell>
          <cell r="W14">
            <v>2774.0799907725136</v>
          </cell>
          <cell r="X14">
            <v>22195.640012687792</v>
          </cell>
          <cell r="Y14">
            <v>7976.2299950978977</v>
          </cell>
          <cell r="Z14">
            <v>867.02500072089742</v>
          </cell>
          <cell r="AA14">
            <v>867.02500072089742</v>
          </cell>
          <cell r="AB14">
            <v>0</v>
          </cell>
          <cell r="AC14">
            <v>0</v>
          </cell>
          <cell r="AD14">
            <v>0</v>
          </cell>
          <cell r="AE14">
            <v>0</v>
          </cell>
          <cell r="AF14">
            <v>0</v>
          </cell>
          <cell r="AG14">
            <v>0</v>
          </cell>
          <cell r="AH14">
            <v>0</v>
          </cell>
          <cell r="AI14">
            <v>0</v>
          </cell>
          <cell r="AJ14">
            <v>0</v>
          </cell>
          <cell r="AK14">
            <v>34680</v>
          </cell>
          <cell r="AL14">
            <v>0</v>
          </cell>
          <cell r="AM14">
            <v>34680</v>
          </cell>
          <cell r="AN14">
            <v>0</v>
          </cell>
        </row>
        <row r="15">
          <cell r="C15" t="str">
            <v>1.4.4</v>
          </cell>
          <cell r="D15" t="str">
            <v>Termination of employment costs</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row>
        <row r="16">
          <cell r="C16" t="str">
            <v>1.4.5</v>
          </cell>
          <cell r="D16" t="str">
            <v>Fallings Rolls fund</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row>
        <row r="17">
          <cell r="C17" t="str">
            <v>1.4.6</v>
          </cell>
          <cell r="D17" t="str">
            <v>Capital expenditure from revenue (CERA)</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row>
        <row r="18">
          <cell r="C18" t="str">
            <v>1.4.7</v>
          </cell>
          <cell r="D18" t="str">
            <v>Prudential borrowing costs</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row>
        <row r="19">
          <cell r="C19" t="str">
            <v>1.4.8</v>
          </cell>
          <cell r="D19" t="str">
            <v>Fees to independent schools without SEN</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row>
        <row r="20">
          <cell r="C20" t="str">
            <v>1.4.9</v>
          </cell>
          <cell r="D20" t="str">
            <v>Equal pay - back pay</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row>
        <row r="21">
          <cell r="C21" t="str">
            <v>1.4.10</v>
          </cell>
          <cell r="D21" t="str">
            <v>Pupil growth / Infant class sizes</v>
          </cell>
          <cell r="E21">
            <v>0</v>
          </cell>
          <cell r="F21">
            <v>0</v>
          </cell>
          <cell r="G21">
            <v>0</v>
          </cell>
          <cell r="H21">
            <v>0</v>
          </cell>
          <cell r="I21">
            <v>0</v>
          </cell>
          <cell r="J21">
            <v>0</v>
          </cell>
          <cell r="K21">
            <v>0</v>
          </cell>
          <cell r="L21">
            <v>0</v>
          </cell>
          <cell r="M21">
            <v>0</v>
          </cell>
          <cell r="N21">
            <v>0</v>
          </cell>
          <cell r="O21">
            <v>0</v>
          </cell>
          <cell r="P21">
            <v>2157480</v>
          </cell>
          <cell r="Q21">
            <v>1959520</v>
          </cell>
          <cell r="R21">
            <v>0</v>
          </cell>
          <cell r="S21">
            <v>1959520</v>
          </cell>
          <cell r="T21">
            <v>0</v>
          </cell>
          <cell r="U21">
            <v>0</v>
          </cell>
          <cell r="V21">
            <v>1853020</v>
          </cell>
          <cell r="W21">
            <v>0</v>
          </cell>
          <cell r="X21">
            <v>1426300</v>
          </cell>
          <cell r="Y21">
            <v>426720</v>
          </cell>
          <cell r="Z21">
            <v>0</v>
          </cell>
          <cell r="AA21">
            <v>0</v>
          </cell>
          <cell r="AB21">
            <v>0</v>
          </cell>
          <cell r="AC21">
            <v>0</v>
          </cell>
          <cell r="AD21">
            <v>0</v>
          </cell>
          <cell r="AE21">
            <v>955840</v>
          </cell>
          <cell r="AF21">
            <v>426720</v>
          </cell>
          <cell r="AG21">
            <v>0</v>
          </cell>
          <cell r="AH21">
            <v>0</v>
          </cell>
          <cell r="AI21">
            <v>0</v>
          </cell>
          <cell r="AJ21">
            <v>1382560</v>
          </cell>
          <cell r="AK21">
            <v>576960</v>
          </cell>
          <cell r="AL21">
            <v>-106500</v>
          </cell>
          <cell r="AM21">
            <v>1853020</v>
          </cell>
          <cell r="AN21">
            <v>0</v>
          </cell>
        </row>
        <row r="22">
          <cell r="C22" t="str">
            <v>1.4.11</v>
          </cell>
          <cell r="D22" t="str">
            <v>SEN transport</v>
          </cell>
          <cell r="E22">
            <v>0</v>
          </cell>
          <cell r="F22">
            <v>0</v>
          </cell>
          <cell r="G22">
            <v>0</v>
          </cell>
          <cell r="H22">
            <v>0</v>
          </cell>
          <cell r="I22">
            <v>0</v>
          </cell>
          <cell r="J22">
            <v>0</v>
          </cell>
          <cell r="K22">
            <v>0</v>
          </cell>
          <cell r="L22">
            <v>0</v>
          </cell>
          <cell r="M22">
            <v>0</v>
          </cell>
          <cell r="N22">
            <v>0</v>
          </cell>
          <cell r="O22">
            <v>0</v>
          </cell>
          <cell r="P22">
            <v>400000</v>
          </cell>
          <cell r="Q22">
            <v>400000</v>
          </cell>
          <cell r="R22">
            <v>0</v>
          </cell>
          <cell r="S22">
            <v>400000</v>
          </cell>
          <cell r="T22">
            <v>0</v>
          </cell>
          <cell r="U22">
            <v>0</v>
          </cell>
          <cell r="V22">
            <v>400000</v>
          </cell>
          <cell r="W22">
            <v>0</v>
          </cell>
          <cell r="X22">
            <v>0</v>
          </cell>
          <cell r="Y22">
            <v>0</v>
          </cell>
          <cell r="Z22">
            <v>400000</v>
          </cell>
          <cell r="AA22">
            <v>0</v>
          </cell>
          <cell r="AB22">
            <v>0</v>
          </cell>
          <cell r="AC22">
            <v>0</v>
          </cell>
          <cell r="AD22">
            <v>0</v>
          </cell>
          <cell r="AE22">
            <v>0</v>
          </cell>
          <cell r="AF22">
            <v>0</v>
          </cell>
          <cell r="AG22">
            <v>0</v>
          </cell>
          <cell r="AH22">
            <v>0</v>
          </cell>
          <cell r="AI22">
            <v>0</v>
          </cell>
          <cell r="AJ22">
            <v>0</v>
          </cell>
          <cell r="AK22">
            <v>400000</v>
          </cell>
          <cell r="AL22">
            <v>0</v>
          </cell>
          <cell r="AM22">
            <v>400000</v>
          </cell>
          <cell r="AN22">
            <v>0</v>
          </cell>
        </row>
        <row r="23">
          <cell r="C23" t="str">
            <v>1.4.12</v>
          </cell>
          <cell r="D23" t="str">
            <v>Exceptions agreed by the Secretary of State</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row>
        <row r="24">
          <cell r="C24" t="str">
            <v>1.4.13</v>
          </cell>
          <cell r="D24" t="str">
            <v>Other items</v>
          </cell>
          <cell r="E24">
            <v>0</v>
          </cell>
          <cell r="F24">
            <v>0</v>
          </cell>
          <cell r="G24">
            <v>0</v>
          </cell>
          <cell r="H24">
            <v>0</v>
          </cell>
          <cell r="I24">
            <v>0</v>
          </cell>
          <cell r="J24">
            <v>0</v>
          </cell>
          <cell r="K24">
            <v>0</v>
          </cell>
          <cell r="L24">
            <v>0</v>
          </cell>
          <cell r="M24">
            <v>0</v>
          </cell>
          <cell r="N24">
            <v>0</v>
          </cell>
          <cell r="O24">
            <v>0</v>
          </cell>
          <cell r="P24">
            <v>377768</v>
          </cell>
          <cell r="Q24">
            <v>140000</v>
          </cell>
          <cell r="R24">
            <v>0</v>
          </cell>
          <cell r="S24">
            <v>140000</v>
          </cell>
          <cell r="T24">
            <v>0</v>
          </cell>
          <cell r="U24">
            <v>0</v>
          </cell>
          <cell r="V24">
            <v>246500</v>
          </cell>
          <cell r="W24">
            <v>0</v>
          </cell>
          <cell r="X24">
            <v>193250</v>
          </cell>
          <cell r="Y24">
            <v>53250</v>
          </cell>
          <cell r="Z24">
            <v>0</v>
          </cell>
          <cell r="AA24">
            <v>0</v>
          </cell>
          <cell r="AB24">
            <v>0</v>
          </cell>
          <cell r="AC24">
            <v>0</v>
          </cell>
          <cell r="AD24">
            <v>0</v>
          </cell>
          <cell r="AE24">
            <v>0</v>
          </cell>
          <cell r="AF24">
            <v>0</v>
          </cell>
          <cell r="AG24">
            <v>0</v>
          </cell>
          <cell r="AH24">
            <v>0</v>
          </cell>
          <cell r="AI24">
            <v>0</v>
          </cell>
          <cell r="AJ24">
            <v>0</v>
          </cell>
          <cell r="AK24">
            <v>140000</v>
          </cell>
          <cell r="AL24">
            <v>106500</v>
          </cell>
          <cell r="AM24">
            <v>246500</v>
          </cell>
          <cell r="AN24">
            <v>0</v>
          </cell>
        </row>
        <row r="25">
          <cell r="J25">
            <v>0</v>
          </cell>
          <cell r="K25">
            <v>0</v>
          </cell>
          <cell r="L25">
            <v>0</v>
          </cell>
          <cell r="M25">
            <v>0</v>
          </cell>
          <cell r="N25">
            <v>0</v>
          </cell>
          <cell r="O25">
            <v>0</v>
          </cell>
          <cell r="P25">
            <v>4109020</v>
          </cell>
          <cell r="Q25">
            <v>3673292</v>
          </cell>
          <cell r="R25">
            <v>0</v>
          </cell>
          <cell r="S25">
            <v>3673292</v>
          </cell>
          <cell r="T25">
            <v>0</v>
          </cell>
          <cell r="U25">
            <v>0</v>
          </cell>
          <cell r="V25">
            <v>3673292</v>
          </cell>
          <cell r="W25">
            <v>516346.99487785809</v>
          </cell>
          <cell r="X25">
            <v>1978008.1310553253</v>
          </cell>
          <cell r="Y25">
            <v>765959.52891408047</v>
          </cell>
          <cell r="Z25">
            <v>406488.6725763682</v>
          </cell>
          <cell r="AA25">
            <v>6488.6725763682061</v>
          </cell>
          <cell r="AB25">
            <v>0</v>
          </cell>
          <cell r="AC25">
            <v>0</v>
          </cell>
          <cell r="AD25">
            <v>0</v>
          </cell>
          <cell r="AE25">
            <v>955840</v>
          </cell>
          <cell r="AF25">
            <v>426720</v>
          </cell>
          <cell r="AG25">
            <v>0</v>
          </cell>
          <cell r="AH25">
            <v>0</v>
          </cell>
          <cell r="AI25">
            <v>0</v>
          </cell>
          <cell r="AJ25">
            <v>1382560</v>
          </cell>
          <cell r="AK25">
            <v>2290732</v>
          </cell>
          <cell r="AL25">
            <v>0</v>
          </cell>
          <cell r="AM25">
            <v>3673292</v>
          </cell>
          <cell r="AN25">
            <v>0</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to"/>
      <sheetName val="Summary"/>
      <sheetName val="NewSummary"/>
      <sheetName val="Errors"/>
      <sheetName val="Notes for Donna"/>
      <sheetName val="ChecklistforDonna"/>
      <sheetName val="Allrates"/>
      <sheetName val="Cols.Funding"/>
      <sheetName val="Data"/>
      <sheetName val="Funding"/>
      <sheetName val="Datacheck"/>
      <sheetName val="PivotforTrans"/>
      <sheetName val="SortedData"/>
      <sheetName val="CompareOldNew"/>
      <sheetName val="Calculations"/>
      <sheetName val="YTDFunding"/>
      <sheetName val="Interface"/>
      <sheetName val="TRANSpivot"/>
      <sheetName val="TRANS1.6.19"/>
      <sheetName val="QuickReport"/>
      <sheetName val="TRANSlines"/>
      <sheetName val="NurseryTransLines"/>
      <sheetName val="Pupillist"/>
      <sheetName val="BandNamesRatesCC"/>
      <sheetName val="Costcentres"/>
      <sheetName val="Bands"/>
      <sheetName val="Rates"/>
      <sheetName val="Schools"/>
      <sheetName val="Schoolinfo"/>
      <sheetName val="PavilionSum"/>
      <sheetName val="SummerFunding"/>
      <sheetName val="FORTRANSOLD"/>
      <sheetName val="Change"/>
      <sheetName val="Pivot"/>
      <sheetName val="NewBandCodes"/>
      <sheetName val="CalcsNew"/>
      <sheetName val="BandsNew"/>
      <sheetName val="DataV2"/>
      <sheetName val="DataV1"/>
    </sheetNames>
    <sheetDataSet>
      <sheetData sheetId="0">
        <row r="5">
          <cell r="B5">
            <v>43922</v>
          </cell>
        </row>
        <row r="6">
          <cell r="B6">
            <v>43191</v>
          </cell>
        </row>
        <row r="7">
          <cell r="B7">
            <v>2019</v>
          </cell>
        </row>
        <row r="8">
          <cell r="B8">
            <v>2020</v>
          </cell>
        </row>
      </sheetData>
      <sheetData sheetId="1">
        <row r="4">
          <cell r="A4">
            <v>43556</v>
          </cell>
        </row>
        <row r="5">
          <cell r="A5">
            <v>43921</v>
          </cell>
        </row>
        <row r="6">
          <cell r="A6">
            <v>43708</v>
          </cell>
        </row>
        <row r="7">
          <cell r="A7">
            <v>43830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oose"/>
      <sheetName val="News"/>
      <sheetName val="Home"/>
      <sheetName val="BudgetShare"/>
      <sheetName val="Payments"/>
      <sheetName val="Pupils"/>
      <sheetName val="CFR"/>
      <sheetName val="HighNeeds"/>
      <sheetName val="EHCPtopup"/>
      <sheetName val="ARPtopup"/>
      <sheetName val="Specialtopup"/>
      <sheetName val="PRUTopups"/>
      <sheetName val="HNRates"/>
      <sheetName val="EarlyYears"/>
      <sheetName val="SixthForm"/>
      <sheetName val="PupilPremium"/>
      <sheetName val="Grants"/>
      <sheetName val="Growth"/>
      <sheetName val="MFG"/>
      <sheetName val="NotionalSEN"/>
      <sheetName val="Compare"/>
      <sheetName val="BarnetReport"/>
      <sheetName val="NicoleAdj"/>
      <sheetName val="NicoleAprilBCD"/>
      <sheetName val="NicoleBCD"/>
      <sheetName val="NicoleAll"/>
      <sheetName val="RunCost"/>
      <sheetName val="BudMon"/>
      <sheetName val="EYData"/>
      <sheetName val="NEWISB"/>
      <sheetName val="AUTTOPUPS"/>
      <sheetName val="AutTopupData"/>
      <sheetName val="Month8"/>
      <sheetName val="Rates"/>
      <sheetName val="Schools"/>
      <sheetName val="1415Funding"/>
      <sheetName val="OCT14Census"/>
      <sheetName val="Schooldata"/>
      <sheetName val="CostCentres"/>
      <sheetName val="Exclusions"/>
      <sheetName val="PPJuly2"/>
      <sheetName val="PPFSM6July1"/>
      <sheetName val="HNPlaces"/>
      <sheetName val="HNPUPILS"/>
      <sheetName val="PRUCENSUS"/>
      <sheetName val="BulgeProt"/>
      <sheetName val="UIFSM"/>
      <sheetName val="UIFSMdata"/>
      <sheetName val="NNDRfromR&amp;B"/>
      <sheetName val="TRANSeoy15"/>
      <sheetName val="Autopivot"/>
      <sheetName val="Autopay1"/>
      <sheetName val="Autopay2"/>
      <sheetName val="Autopay3"/>
      <sheetName val="Autopay4"/>
      <sheetName val="DFCfinal"/>
      <sheetName val="SummerLAC"/>
      <sheetName val="UIFSMAdj"/>
      <sheetName val="UIFSMJul"/>
      <sheetName val="EHCP+ARPJuly"/>
      <sheetName val="SpecJuly"/>
      <sheetName val="POST16Allocs"/>
      <sheetName val="EY SUMA adj"/>
      <sheetName val="EY SUMAdata"/>
      <sheetName val="EY BUDMON Jul15"/>
      <sheetName val="Recoup"/>
      <sheetName val="NNDROct"/>
      <sheetName val="SummerSchools"/>
      <sheetName val="MP"/>
      <sheetName val="PEGrant1516"/>
      <sheetName val="RBaseline"/>
      <sheetName val="EYAutAct"/>
      <sheetName val="Claremont"/>
      <sheetName val="TRANS"/>
      <sheetName val="EY_SUMA_adj"/>
      <sheetName val="EY_SUMAdata"/>
      <sheetName val="EY_BUDMON_Jul15"/>
    </sheetNames>
    <sheetDataSet>
      <sheetData sheetId="0"/>
      <sheetData sheetId="1"/>
      <sheetData sheetId="2">
        <row r="5">
          <cell r="F5">
            <v>3023519</v>
          </cell>
        </row>
      </sheetData>
      <sheetData sheetId="3"/>
      <sheetData sheetId="4"/>
      <sheetData sheetId="5">
        <row r="19">
          <cell r="Q19">
            <v>3023519</v>
          </cell>
        </row>
      </sheetData>
      <sheetData sheetId="6">
        <row r="12">
          <cell r="L12" t="str">
            <v>Barnet School Funding Allocation April 2015-March 2016 - End of Year Adjustments</v>
          </cell>
        </row>
      </sheetData>
      <sheetData sheetId="7"/>
      <sheetData sheetId="8"/>
      <sheetData sheetId="9"/>
      <sheetData sheetId="10"/>
      <sheetData sheetId="11"/>
      <sheetData sheetId="12"/>
      <sheetData sheetId="13">
        <row r="19">
          <cell r="AA19" t="str">
            <v>Yes</v>
          </cell>
        </row>
      </sheetData>
      <sheetData sheetId="14"/>
      <sheetData sheetId="15"/>
      <sheetData sheetId="16"/>
      <sheetData sheetId="17"/>
      <sheetData sheetId="18">
        <row r="6">
          <cell r="N6">
            <v>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O1" t="str">
            <v>Phase</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 04"/>
      <sheetName val="Budget summary"/>
      <sheetName val="SummaryCB"/>
      <sheetName val="INRespivot"/>
      <sheetName val="Ind &amp; NMSS Res"/>
      <sheetName val="INDaypivot"/>
      <sheetName val="Ind &amp; NMSS Day"/>
      <sheetName val="MAOOBPivot"/>
      <sheetName val="Maint &amp; Acad OOB"/>
      <sheetName val="ChCenPivot"/>
      <sheetName val="Children's Centres"/>
      <sheetName val="Therapies"/>
      <sheetName val="Specialist Pkgs"/>
      <sheetName val="Block Purchase"/>
      <sheetName val="Client Data"/>
      <sheetName val="Provider Listing"/>
      <sheetName val="Vendor List"/>
      <sheetName val="Data"/>
      <sheetName val="Sheet7"/>
      <sheetName val="Mth_04"/>
      <sheetName val="Budget_summary"/>
      <sheetName val="Ind_&amp;_NMSS_Res"/>
      <sheetName val="Ind_&amp;_NMSS_Day"/>
      <sheetName val="Maint_&amp;_Acad_OOB"/>
      <sheetName val="Children's_Centres"/>
      <sheetName val="Specialist_Pkgs"/>
      <sheetName val="Block_Purchase"/>
      <sheetName val="Client_Data"/>
      <sheetName val="Provider_Listing"/>
      <sheetName val="Vendor_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v>279693</v>
          </cell>
          <cell r="B3" t="str">
            <v>MENON</v>
          </cell>
          <cell r="C3" t="str">
            <v>ETHAN</v>
          </cell>
          <cell r="D3">
            <v>40596</v>
          </cell>
          <cell r="E3">
            <v>3.5263518138261465</v>
          </cell>
        </row>
        <row r="4">
          <cell r="A4">
            <v>314689</v>
          </cell>
          <cell r="B4" t="str">
            <v>SHINHMAR</v>
          </cell>
          <cell r="C4" t="str">
            <v>JAY</v>
          </cell>
          <cell r="D4">
            <v>35126</v>
          </cell>
          <cell r="E4">
            <v>18.50239561943874</v>
          </cell>
        </row>
        <row r="5">
          <cell r="A5">
            <v>286066</v>
          </cell>
          <cell r="B5" t="str">
            <v>BRETT</v>
          </cell>
          <cell r="C5" t="str">
            <v>MIRIAM</v>
          </cell>
          <cell r="D5">
            <v>40555</v>
          </cell>
          <cell r="E5">
            <v>3.6386036960985626</v>
          </cell>
        </row>
        <row r="6">
          <cell r="A6">
            <v>286061</v>
          </cell>
          <cell r="B6" t="str">
            <v>CHEEK</v>
          </cell>
          <cell r="C6" t="str">
            <v>OLIVER</v>
          </cell>
          <cell r="D6">
            <v>40508</v>
          </cell>
          <cell r="E6">
            <v>3.7672826830937716</v>
          </cell>
        </row>
        <row r="7">
          <cell r="A7">
            <v>265087</v>
          </cell>
          <cell r="B7" t="str">
            <v>CHOUEKA</v>
          </cell>
          <cell r="C7" t="str">
            <v>JOSEPH</v>
          </cell>
          <cell r="D7">
            <v>40498</v>
          </cell>
          <cell r="E7">
            <v>3.7946611909650922</v>
          </cell>
        </row>
        <row r="8">
          <cell r="A8">
            <v>270616</v>
          </cell>
          <cell r="B8" t="str">
            <v>JAKAJ</v>
          </cell>
          <cell r="C8" t="str">
            <v>JENNIFER</v>
          </cell>
          <cell r="D8">
            <v>40484</v>
          </cell>
          <cell r="E8">
            <v>3.8329911019849416</v>
          </cell>
        </row>
        <row r="9">
          <cell r="A9">
            <v>74449</v>
          </cell>
          <cell r="B9" t="str">
            <v>KANDLER</v>
          </cell>
          <cell r="C9" t="str">
            <v>MIRIAM</v>
          </cell>
          <cell r="D9">
            <v>37482</v>
          </cell>
          <cell r="E9">
            <v>12.05201916495551</v>
          </cell>
        </row>
        <row r="10">
          <cell r="A10">
            <v>274851</v>
          </cell>
          <cell r="B10" t="str">
            <v>FEINGOLD</v>
          </cell>
          <cell r="C10" t="str">
            <v>ADINA</v>
          </cell>
          <cell r="D10">
            <v>40398</v>
          </cell>
          <cell r="E10">
            <v>4.0684462696783026</v>
          </cell>
        </row>
        <row r="11">
          <cell r="A11">
            <v>294106</v>
          </cell>
          <cell r="B11" t="str">
            <v>WARENTS</v>
          </cell>
          <cell r="C11" t="str">
            <v>SAMUEL</v>
          </cell>
          <cell r="D11">
            <v>40377</v>
          </cell>
          <cell r="E11">
            <v>4.1259411362080769</v>
          </cell>
        </row>
        <row r="12">
          <cell r="A12">
            <v>294331</v>
          </cell>
          <cell r="B12" t="str">
            <v>SULTMAN</v>
          </cell>
          <cell r="C12" t="str">
            <v>THEODORE</v>
          </cell>
          <cell r="D12">
            <v>40345</v>
          </cell>
          <cell r="E12">
            <v>4.213552361396304</v>
          </cell>
        </row>
        <row r="13">
          <cell r="A13">
            <v>285595</v>
          </cell>
          <cell r="B13" t="str">
            <v>BLOOM</v>
          </cell>
          <cell r="C13" t="str">
            <v>BEN (RAFI)</v>
          </cell>
          <cell r="D13">
            <v>40334</v>
          </cell>
          <cell r="E13">
            <v>4.2436687200547567</v>
          </cell>
        </row>
        <row r="14">
          <cell r="A14">
            <v>145188</v>
          </cell>
          <cell r="B14" t="str">
            <v>RUEBAN</v>
          </cell>
          <cell r="C14" t="str">
            <v>DANIELS</v>
          </cell>
          <cell r="D14">
            <v>40315</v>
          </cell>
          <cell r="E14">
            <v>4.2956878850102669</v>
          </cell>
        </row>
        <row r="15">
          <cell r="A15">
            <v>251875</v>
          </cell>
          <cell r="B15" t="str">
            <v>SILBERSTEIN</v>
          </cell>
          <cell r="C15" t="str">
            <v>ANAELLE</v>
          </cell>
          <cell r="D15">
            <v>40295</v>
          </cell>
          <cell r="E15">
            <v>4.3504449007529091</v>
          </cell>
        </row>
        <row r="16">
          <cell r="A16">
            <v>270644</v>
          </cell>
          <cell r="B16" t="str">
            <v>BORDON</v>
          </cell>
          <cell r="C16" t="str">
            <v>ZEV</v>
          </cell>
          <cell r="D16">
            <v>40264</v>
          </cell>
          <cell r="E16">
            <v>4.4353182751540041</v>
          </cell>
        </row>
        <row r="17">
          <cell r="A17">
            <v>251256</v>
          </cell>
          <cell r="B17" t="str">
            <v>PARKER</v>
          </cell>
          <cell r="C17" t="str">
            <v>ELLIOT</v>
          </cell>
          <cell r="D17">
            <v>40252</v>
          </cell>
          <cell r="E17">
            <v>4.4681724845995889</v>
          </cell>
        </row>
        <row r="18">
          <cell r="A18">
            <v>251960</v>
          </cell>
          <cell r="B18" t="str">
            <v>LEWIS</v>
          </cell>
          <cell r="C18" t="str">
            <v>DEXTER</v>
          </cell>
          <cell r="D18">
            <v>40219</v>
          </cell>
          <cell r="E18">
            <v>4.5585215605749489</v>
          </cell>
        </row>
        <row r="19">
          <cell r="A19">
            <v>285869</v>
          </cell>
          <cell r="B19" t="str">
            <v>GURASPISHVILI</v>
          </cell>
          <cell r="C19" t="str">
            <v>ALEXANDER</v>
          </cell>
          <cell r="D19">
            <v>40190</v>
          </cell>
          <cell r="E19">
            <v>4.6379192334017798</v>
          </cell>
        </row>
        <row r="20">
          <cell r="A20">
            <v>281644</v>
          </cell>
          <cell r="B20" t="str">
            <v>OKONKWO</v>
          </cell>
          <cell r="C20" t="str">
            <v>ARINZE</v>
          </cell>
          <cell r="D20">
            <v>40139</v>
          </cell>
          <cell r="E20">
            <v>4.777549623545517</v>
          </cell>
        </row>
        <row r="21">
          <cell r="A21">
            <v>281640</v>
          </cell>
          <cell r="B21" t="str">
            <v>OKONKWO</v>
          </cell>
          <cell r="C21" t="str">
            <v>TOBENNA</v>
          </cell>
          <cell r="D21">
            <v>40139</v>
          </cell>
          <cell r="E21">
            <v>4.777549623545517</v>
          </cell>
        </row>
        <row r="22">
          <cell r="A22">
            <v>23278</v>
          </cell>
          <cell r="B22" t="str">
            <v>ANSA-OTU</v>
          </cell>
          <cell r="C22" t="str">
            <v>Kwamie</v>
          </cell>
          <cell r="D22">
            <v>40128</v>
          </cell>
          <cell r="E22">
            <v>4.8076659822039698</v>
          </cell>
        </row>
        <row r="23">
          <cell r="A23">
            <v>223193</v>
          </cell>
          <cell r="B23" t="str">
            <v>JOSHI</v>
          </cell>
          <cell r="C23" t="str">
            <v>KAVAN</v>
          </cell>
          <cell r="D23">
            <v>40096</v>
          </cell>
          <cell r="E23">
            <v>4.8952772073921968</v>
          </cell>
        </row>
        <row r="24">
          <cell r="A24">
            <v>265869</v>
          </cell>
          <cell r="B24" t="str">
            <v>CLIFTON</v>
          </cell>
          <cell r="C24" t="str">
            <v>HARRY</v>
          </cell>
          <cell r="D24">
            <v>40064</v>
          </cell>
          <cell r="E24">
            <v>4.9828884325804248</v>
          </cell>
        </row>
        <row r="25">
          <cell r="A25">
            <v>232368</v>
          </cell>
          <cell r="B25" t="str">
            <v>PEARL</v>
          </cell>
          <cell r="C25" t="str">
            <v>CHANOCH</v>
          </cell>
          <cell r="D25">
            <v>40051</v>
          </cell>
          <cell r="E25">
            <v>5.0184804928131417</v>
          </cell>
        </row>
        <row r="26">
          <cell r="A26">
            <v>246765</v>
          </cell>
          <cell r="B26" t="str">
            <v>SMITH</v>
          </cell>
          <cell r="C26" t="str">
            <v>MAISIE</v>
          </cell>
          <cell r="D26">
            <v>40032</v>
          </cell>
          <cell r="E26">
            <v>5.0704996577686519</v>
          </cell>
        </row>
        <row r="27">
          <cell r="A27">
            <v>275504</v>
          </cell>
          <cell r="B27" t="str">
            <v>LACK</v>
          </cell>
          <cell r="C27" t="str">
            <v>TOMMY</v>
          </cell>
          <cell r="D27">
            <v>40015</v>
          </cell>
          <cell r="E27">
            <v>5.117043121149897</v>
          </cell>
        </row>
        <row r="28">
          <cell r="A28">
            <v>223514</v>
          </cell>
          <cell r="B28" t="str">
            <v>JAMES</v>
          </cell>
          <cell r="C28" t="str">
            <v>DANIEL</v>
          </cell>
          <cell r="D28">
            <v>40009</v>
          </cell>
          <cell r="E28">
            <v>5.1334702258726903</v>
          </cell>
        </row>
        <row r="29">
          <cell r="A29">
            <v>211145</v>
          </cell>
          <cell r="B29" t="str">
            <v>MENZIES</v>
          </cell>
          <cell r="C29" t="str">
            <v>TIFFANY SARAIVA</v>
          </cell>
          <cell r="D29">
            <v>39962</v>
          </cell>
          <cell r="E29">
            <v>5.2621492128678984</v>
          </cell>
        </row>
        <row r="30">
          <cell r="A30">
            <v>268849</v>
          </cell>
          <cell r="B30" t="str">
            <v>KARKI</v>
          </cell>
          <cell r="C30" t="str">
            <v>PRATHAM</v>
          </cell>
          <cell r="D30">
            <v>39951</v>
          </cell>
          <cell r="E30">
            <v>5.292265571526352</v>
          </cell>
        </row>
        <row r="31">
          <cell r="A31">
            <v>254369</v>
          </cell>
          <cell r="B31" t="str">
            <v>RAHIM-COUSANS</v>
          </cell>
          <cell r="C31" t="str">
            <v>LEILA</v>
          </cell>
          <cell r="D31">
            <v>39923</v>
          </cell>
          <cell r="E31">
            <v>5.3689253935660508</v>
          </cell>
        </row>
        <row r="32">
          <cell r="A32">
            <v>217922</v>
          </cell>
          <cell r="B32" t="str">
            <v>GLADDEN</v>
          </cell>
          <cell r="C32" t="str">
            <v>ALEXANDER</v>
          </cell>
          <cell r="D32">
            <v>39920</v>
          </cell>
          <cell r="E32">
            <v>5.377138945927447</v>
          </cell>
        </row>
        <row r="33">
          <cell r="A33">
            <v>259950</v>
          </cell>
          <cell r="B33" t="str">
            <v>TAILOR</v>
          </cell>
          <cell r="C33" t="str">
            <v>YASHI</v>
          </cell>
          <cell r="D33">
            <v>39916</v>
          </cell>
          <cell r="E33">
            <v>5.3880903490759753</v>
          </cell>
        </row>
        <row r="34">
          <cell r="A34">
            <v>247338</v>
          </cell>
          <cell r="B34" t="str">
            <v>SOBCZAK</v>
          </cell>
          <cell r="C34" t="str">
            <v>APRIL</v>
          </cell>
          <cell r="D34">
            <v>39870</v>
          </cell>
          <cell r="E34">
            <v>5.5140314852840522</v>
          </cell>
        </row>
        <row r="35">
          <cell r="A35">
            <v>258900</v>
          </cell>
          <cell r="B35" t="str">
            <v>GIBBS-KASSAM</v>
          </cell>
          <cell r="C35" t="str">
            <v>ETHAN</v>
          </cell>
          <cell r="D35">
            <v>39869</v>
          </cell>
          <cell r="E35">
            <v>5.5167693360711842</v>
          </cell>
        </row>
        <row r="36">
          <cell r="A36">
            <v>263648</v>
          </cell>
          <cell r="B36" t="str">
            <v>DEL-GIUDICE</v>
          </cell>
          <cell r="C36" t="str">
            <v>WILLIAM</v>
          </cell>
          <cell r="D36">
            <v>39866</v>
          </cell>
          <cell r="E36">
            <v>5.5249828884325805</v>
          </cell>
        </row>
        <row r="37">
          <cell r="A37">
            <v>182733</v>
          </cell>
          <cell r="B37" t="str">
            <v>GOURGEL</v>
          </cell>
          <cell r="C37" t="str">
            <v>CHELSEA</v>
          </cell>
          <cell r="D37">
            <v>39857</v>
          </cell>
          <cell r="E37">
            <v>5.5496235455167691</v>
          </cell>
        </row>
        <row r="38">
          <cell r="A38">
            <v>271089</v>
          </cell>
          <cell r="B38" t="str">
            <v xml:space="preserve">KLEIN </v>
          </cell>
          <cell r="C38" t="str">
            <v>MILLA</v>
          </cell>
          <cell r="D38">
            <v>39825</v>
          </cell>
          <cell r="E38">
            <v>5.637234770704997</v>
          </cell>
        </row>
        <row r="39">
          <cell r="A39">
            <v>182731</v>
          </cell>
          <cell r="B39" t="str">
            <v>MEDFORD</v>
          </cell>
          <cell r="C39" t="str">
            <v>KAYLEY</v>
          </cell>
          <cell r="D39">
            <v>39804</v>
          </cell>
          <cell r="E39">
            <v>5.6947296372347704</v>
          </cell>
        </row>
        <row r="40">
          <cell r="A40">
            <v>182732</v>
          </cell>
          <cell r="B40" t="str">
            <v>PLANCEY</v>
          </cell>
          <cell r="C40" t="str">
            <v>RINAT</v>
          </cell>
          <cell r="D40">
            <v>39803</v>
          </cell>
          <cell r="E40">
            <v>5.6974674880219025</v>
          </cell>
        </row>
        <row r="41">
          <cell r="A41">
            <v>285578</v>
          </cell>
          <cell r="B41" t="str">
            <v>ABRAHAM</v>
          </cell>
          <cell r="C41" t="str">
            <v>BATYA</v>
          </cell>
          <cell r="D41">
            <v>39775</v>
          </cell>
          <cell r="E41">
            <v>5.7741273100616013</v>
          </cell>
        </row>
        <row r="42">
          <cell r="A42">
            <v>279874</v>
          </cell>
          <cell r="B42" t="str">
            <v>GILL</v>
          </cell>
          <cell r="C42" t="str">
            <v>REUBEN</v>
          </cell>
          <cell r="D42">
            <v>39754</v>
          </cell>
          <cell r="E42">
            <v>5.8316221765913756</v>
          </cell>
        </row>
        <row r="43">
          <cell r="A43">
            <v>182730</v>
          </cell>
          <cell r="B43" t="str">
            <v>LAM</v>
          </cell>
          <cell r="C43" t="str">
            <v>KIAN</v>
          </cell>
          <cell r="D43">
            <v>39714</v>
          </cell>
          <cell r="E43">
            <v>5.9411362080766601</v>
          </cell>
        </row>
        <row r="44">
          <cell r="A44">
            <v>182729</v>
          </cell>
          <cell r="B44" t="str">
            <v>BLAKER</v>
          </cell>
          <cell r="C44" t="str">
            <v>SHTERNA</v>
          </cell>
          <cell r="D44">
            <v>39696</v>
          </cell>
          <cell r="E44">
            <v>5.9904175222450373</v>
          </cell>
        </row>
        <row r="45">
          <cell r="A45">
            <v>210604</v>
          </cell>
          <cell r="B45" t="str">
            <v>LANDECK</v>
          </cell>
          <cell r="C45" t="str">
            <v>ORLY</v>
          </cell>
          <cell r="D45">
            <v>39693</v>
          </cell>
          <cell r="E45">
            <v>5.9986310746064335</v>
          </cell>
        </row>
        <row r="46">
          <cell r="A46">
            <v>203353</v>
          </cell>
          <cell r="B46" t="str">
            <v>ROSENFELDER</v>
          </cell>
          <cell r="C46" t="str">
            <v>EICHONON</v>
          </cell>
          <cell r="D46">
            <v>39686</v>
          </cell>
          <cell r="E46">
            <v>6.0177960301163589</v>
          </cell>
        </row>
        <row r="47">
          <cell r="A47">
            <v>233822</v>
          </cell>
          <cell r="B47" t="str">
            <v>DENNIS</v>
          </cell>
          <cell r="C47" t="str">
            <v>STEVEN</v>
          </cell>
          <cell r="D47">
            <v>39660</v>
          </cell>
          <cell r="E47">
            <v>6.0889801505817935</v>
          </cell>
        </row>
        <row r="48">
          <cell r="A48">
            <v>230762</v>
          </cell>
          <cell r="B48" t="str">
            <v>MARUF</v>
          </cell>
          <cell r="C48" t="str">
            <v>YUSUF</v>
          </cell>
          <cell r="D48">
            <v>39648</v>
          </cell>
          <cell r="E48">
            <v>6.1218343600273784</v>
          </cell>
        </row>
        <row r="49">
          <cell r="A49">
            <v>244535</v>
          </cell>
          <cell r="B49" t="str">
            <v>UDOLISA</v>
          </cell>
          <cell r="C49" t="str">
            <v>JEDIN</v>
          </cell>
          <cell r="D49">
            <v>39630</v>
          </cell>
          <cell r="E49">
            <v>6.1711156741957565</v>
          </cell>
        </row>
        <row r="50">
          <cell r="A50">
            <v>245663</v>
          </cell>
          <cell r="B50" t="str">
            <v>EAPEN</v>
          </cell>
          <cell r="C50" t="str">
            <v>JOSH (PHILIP KOSHY)</v>
          </cell>
          <cell r="D50">
            <v>39626</v>
          </cell>
          <cell r="E50">
            <v>6.1820670773442847</v>
          </cell>
        </row>
        <row r="51">
          <cell r="A51">
            <v>231345</v>
          </cell>
          <cell r="B51" t="str">
            <v>BERMAN</v>
          </cell>
          <cell r="C51" t="str">
            <v>BENJAMIN</v>
          </cell>
          <cell r="D51">
            <v>39609</v>
          </cell>
          <cell r="E51">
            <v>6.2286105407255308</v>
          </cell>
        </row>
        <row r="52">
          <cell r="A52">
            <v>199539</v>
          </cell>
          <cell r="B52" t="str">
            <v>EDELSTEIN</v>
          </cell>
          <cell r="C52" t="str">
            <v>MARTIN</v>
          </cell>
          <cell r="D52">
            <v>39594</v>
          </cell>
          <cell r="E52">
            <v>6.2696783025325118</v>
          </cell>
        </row>
        <row r="53">
          <cell r="A53">
            <v>211166</v>
          </cell>
          <cell r="B53" t="str">
            <v>LIDDLE</v>
          </cell>
          <cell r="C53" t="str">
            <v>THOMAS</v>
          </cell>
          <cell r="D53">
            <v>39594</v>
          </cell>
          <cell r="E53">
            <v>6.2696783025325118</v>
          </cell>
        </row>
        <row r="54">
          <cell r="A54">
            <v>244735</v>
          </cell>
          <cell r="B54" t="str">
            <v>JOSEPH</v>
          </cell>
          <cell r="C54" t="str">
            <v>JACK</v>
          </cell>
          <cell r="D54">
            <v>39548</v>
          </cell>
          <cell r="E54">
            <v>6.3956194387405887</v>
          </cell>
        </row>
        <row r="55">
          <cell r="A55">
            <v>213991</v>
          </cell>
          <cell r="B55" t="str">
            <v>WAWERO</v>
          </cell>
          <cell r="C55" t="str">
            <v>IMAN</v>
          </cell>
          <cell r="D55">
            <v>39534</v>
          </cell>
          <cell r="E55">
            <v>6.4339493497604376</v>
          </cell>
        </row>
        <row r="56">
          <cell r="A56">
            <v>182726</v>
          </cell>
          <cell r="B56" t="str">
            <v>BRADY</v>
          </cell>
          <cell r="C56" t="str">
            <v>LAURA</v>
          </cell>
          <cell r="D56">
            <v>39525</v>
          </cell>
          <cell r="E56">
            <v>6.4585900068446271</v>
          </cell>
        </row>
        <row r="57">
          <cell r="A57">
            <v>211307</v>
          </cell>
          <cell r="B57" t="str">
            <v>GORDON</v>
          </cell>
          <cell r="C57" t="str">
            <v>DARYL</v>
          </cell>
          <cell r="D57">
            <v>39509</v>
          </cell>
          <cell r="E57">
            <v>6.5023956194387402</v>
          </cell>
        </row>
        <row r="58">
          <cell r="A58">
            <v>232358</v>
          </cell>
          <cell r="B58" t="str">
            <v>TOFFEL</v>
          </cell>
          <cell r="C58" t="str">
            <v>CHAYA</v>
          </cell>
          <cell r="D58">
            <v>39502</v>
          </cell>
          <cell r="E58">
            <v>6.5215605749486656</v>
          </cell>
        </row>
        <row r="59">
          <cell r="A59">
            <v>213993</v>
          </cell>
          <cell r="B59" t="str">
            <v>KAHNER</v>
          </cell>
          <cell r="C59" t="str">
            <v>BENJAMIN</v>
          </cell>
          <cell r="D59">
            <v>39488</v>
          </cell>
          <cell r="E59">
            <v>6.5598904859685145</v>
          </cell>
        </row>
        <row r="60">
          <cell r="A60">
            <v>239309</v>
          </cell>
          <cell r="B60" t="str">
            <v>NEAIMI</v>
          </cell>
          <cell r="C60" t="str">
            <v>JORDAN</v>
          </cell>
          <cell r="D60">
            <v>39473</v>
          </cell>
          <cell r="E60">
            <v>6.6009582477754964</v>
          </cell>
        </row>
        <row r="61">
          <cell r="A61">
            <v>239225</v>
          </cell>
          <cell r="B61" t="str">
            <v>ONYILOGWU</v>
          </cell>
          <cell r="C61" t="str">
            <v>SAMANTHA</v>
          </cell>
          <cell r="D61">
            <v>39468</v>
          </cell>
          <cell r="E61">
            <v>6.6146475017111568</v>
          </cell>
        </row>
        <row r="62">
          <cell r="A62">
            <v>236566</v>
          </cell>
          <cell r="B62" t="str">
            <v>SICAT</v>
          </cell>
          <cell r="C62" t="str">
            <v>SEAN</v>
          </cell>
          <cell r="D62">
            <v>39464</v>
          </cell>
          <cell r="E62">
            <v>6.6255989048596851</v>
          </cell>
        </row>
        <row r="63">
          <cell r="A63">
            <v>244813</v>
          </cell>
          <cell r="B63" t="str">
            <v>DEHIDENIYA</v>
          </cell>
          <cell r="C63" t="str">
            <v>KEZIAH</v>
          </cell>
          <cell r="D63">
            <v>39435</v>
          </cell>
          <cell r="E63">
            <v>6.7049965776865159</v>
          </cell>
        </row>
        <row r="64">
          <cell r="A64">
            <v>207831</v>
          </cell>
          <cell r="B64" t="str">
            <v>YANMAZ</v>
          </cell>
          <cell r="C64" t="str">
            <v>GABRIEL</v>
          </cell>
          <cell r="D64">
            <v>39428</v>
          </cell>
          <cell r="E64">
            <v>6.7241615331964404</v>
          </cell>
        </row>
        <row r="65">
          <cell r="A65">
            <v>227148</v>
          </cell>
          <cell r="B65" t="str">
            <v>SHARIF</v>
          </cell>
          <cell r="C65" t="str">
            <v>SOPHIE</v>
          </cell>
          <cell r="D65">
            <v>39421</v>
          </cell>
          <cell r="E65">
            <v>6.7433264887063658</v>
          </cell>
        </row>
        <row r="66">
          <cell r="A66">
            <v>170499</v>
          </cell>
          <cell r="B66" t="str">
            <v>IBRAHIAM</v>
          </cell>
          <cell r="C66" t="str">
            <v>ADNAN</v>
          </cell>
          <cell r="D66">
            <v>39327</v>
          </cell>
          <cell r="E66">
            <v>7.0006844626967828</v>
          </cell>
        </row>
        <row r="67">
          <cell r="A67">
            <v>210817</v>
          </cell>
          <cell r="B67" t="str">
            <v>TWUMASI</v>
          </cell>
          <cell r="C67" t="str">
            <v>PHILIP</v>
          </cell>
          <cell r="D67">
            <v>39303</v>
          </cell>
          <cell r="E67">
            <v>7.0663928815879533</v>
          </cell>
        </row>
        <row r="68">
          <cell r="A68">
            <v>169179</v>
          </cell>
          <cell r="B68" t="str">
            <v>EBERT</v>
          </cell>
          <cell r="C68" t="str">
            <v>EFRAIM</v>
          </cell>
          <cell r="D68">
            <v>39289</v>
          </cell>
          <cell r="E68">
            <v>7.1047227926078032</v>
          </cell>
        </row>
        <row r="69">
          <cell r="A69">
            <v>211497</v>
          </cell>
          <cell r="B69" t="str">
            <v>BRILANT</v>
          </cell>
          <cell r="C69" t="str">
            <v>GUY</v>
          </cell>
          <cell r="D69">
            <v>39288</v>
          </cell>
          <cell r="E69">
            <v>7.1074606433949352</v>
          </cell>
        </row>
        <row r="70">
          <cell r="A70">
            <v>182724</v>
          </cell>
          <cell r="B70" t="str">
            <v>OGUNDE</v>
          </cell>
          <cell r="C70" t="str">
            <v>OLUWATIMI JEVON</v>
          </cell>
          <cell r="D70">
            <v>39271</v>
          </cell>
          <cell r="E70">
            <v>7.1540041067761804</v>
          </cell>
        </row>
        <row r="71">
          <cell r="A71">
            <v>210128</v>
          </cell>
          <cell r="B71" t="str">
            <v>MIZNER</v>
          </cell>
          <cell r="C71" t="str">
            <v>AVICHAI</v>
          </cell>
          <cell r="D71">
            <v>39269</v>
          </cell>
          <cell r="E71">
            <v>7.1594798083504445</v>
          </cell>
        </row>
        <row r="72">
          <cell r="A72">
            <v>210481</v>
          </cell>
          <cell r="B72" t="str">
            <v>BOUMAHDI</v>
          </cell>
          <cell r="C72" t="str">
            <v>MOHAMED</v>
          </cell>
          <cell r="D72">
            <v>39260</v>
          </cell>
          <cell r="E72">
            <v>7.184120465434634</v>
          </cell>
        </row>
        <row r="73">
          <cell r="A73">
            <v>143234</v>
          </cell>
          <cell r="B73" t="str">
            <v>ROSENTHAL</v>
          </cell>
          <cell r="C73" t="str">
            <v>AIMEE</v>
          </cell>
          <cell r="D73">
            <v>39230</v>
          </cell>
          <cell r="E73">
            <v>7.2662559890485969</v>
          </cell>
        </row>
        <row r="74">
          <cell r="A74">
            <v>214098</v>
          </cell>
          <cell r="B74" t="str">
            <v>GETTER</v>
          </cell>
          <cell r="C74" t="str">
            <v>Elya</v>
          </cell>
          <cell r="D74">
            <v>39215</v>
          </cell>
          <cell r="E74">
            <v>7.3073237508555779</v>
          </cell>
        </row>
        <row r="75">
          <cell r="A75">
            <v>210616</v>
          </cell>
          <cell r="B75" t="str">
            <v>GREENFIELD</v>
          </cell>
          <cell r="C75" t="str">
            <v>GRACE</v>
          </cell>
          <cell r="D75">
            <v>39200</v>
          </cell>
          <cell r="E75">
            <v>7.3483915126625599</v>
          </cell>
        </row>
        <row r="76">
          <cell r="A76">
            <v>195658</v>
          </cell>
          <cell r="B76" t="str">
            <v>JUDAH</v>
          </cell>
          <cell r="C76" t="str">
            <v>ATARA</v>
          </cell>
          <cell r="D76">
            <v>39197</v>
          </cell>
          <cell r="E76">
            <v>7.3566050650239561</v>
          </cell>
        </row>
        <row r="77">
          <cell r="A77">
            <v>195881</v>
          </cell>
          <cell r="B77" t="str">
            <v>MUTABAZI</v>
          </cell>
          <cell r="C77" t="str">
            <v>LIZA</v>
          </cell>
          <cell r="D77">
            <v>39197</v>
          </cell>
          <cell r="E77">
            <v>7.3566050650239561</v>
          </cell>
        </row>
        <row r="78">
          <cell r="A78">
            <v>209958</v>
          </cell>
          <cell r="B78" t="str">
            <v>MARZBAN</v>
          </cell>
          <cell r="C78" t="str">
            <v>RAYAAN</v>
          </cell>
          <cell r="D78">
            <v>39178</v>
          </cell>
          <cell r="E78">
            <v>7.4086242299794662</v>
          </cell>
        </row>
        <row r="79">
          <cell r="A79">
            <v>274704</v>
          </cell>
          <cell r="B79" t="str">
            <v>SHAHZAD</v>
          </cell>
          <cell r="C79" t="str">
            <v>AYAN</v>
          </cell>
          <cell r="D79">
            <v>39169</v>
          </cell>
          <cell r="E79">
            <v>7.4332648870636548</v>
          </cell>
        </row>
        <row r="80">
          <cell r="A80">
            <v>197146</v>
          </cell>
          <cell r="B80" t="str">
            <v>MAHMOUD</v>
          </cell>
          <cell r="C80" t="str">
            <v>ADAM</v>
          </cell>
          <cell r="D80">
            <v>39165</v>
          </cell>
          <cell r="E80">
            <v>7.4442162902121831</v>
          </cell>
        </row>
        <row r="81">
          <cell r="A81">
            <v>193739</v>
          </cell>
          <cell r="B81" t="str">
            <v>MOABI</v>
          </cell>
          <cell r="C81" t="str">
            <v>GABRIEL</v>
          </cell>
          <cell r="D81">
            <v>39164</v>
          </cell>
          <cell r="E81">
            <v>7.4469541409993152</v>
          </cell>
        </row>
        <row r="82">
          <cell r="A82">
            <v>197643</v>
          </cell>
          <cell r="B82" t="str">
            <v>IOANNIDIS</v>
          </cell>
          <cell r="C82" t="str">
            <v>ANGELINA</v>
          </cell>
          <cell r="D82">
            <v>39161</v>
          </cell>
          <cell r="E82">
            <v>7.4551676933607123</v>
          </cell>
        </row>
        <row r="83">
          <cell r="A83">
            <v>212089</v>
          </cell>
          <cell r="B83" t="str">
            <v>GABRIEL</v>
          </cell>
          <cell r="C83" t="str">
            <v>MALIKA</v>
          </cell>
          <cell r="D83">
            <v>39157</v>
          </cell>
          <cell r="E83">
            <v>7.4661190965092405</v>
          </cell>
        </row>
        <row r="84">
          <cell r="A84">
            <v>210262</v>
          </cell>
          <cell r="B84" t="str">
            <v>ZENTER</v>
          </cell>
          <cell r="C84" t="str">
            <v>KAI</v>
          </cell>
          <cell r="D84">
            <v>39157</v>
          </cell>
          <cell r="E84">
            <v>7.4661190965092405</v>
          </cell>
        </row>
        <row r="85">
          <cell r="A85">
            <v>197379</v>
          </cell>
          <cell r="B85" t="str">
            <v>NARVAEZ-GOMEZ</v>
          </cell>
          <cell r="C85" t="str">
            <v>LUCAS</v>
          </cell>
          <cell r="D85">
            <v>39147</v>
          </cell>
          <cell r="E85">
            <v>7.4934976043805612</v>
          </cell>
        </row>
        <row r="86">
          <cell r="A86">
            <v>203334</v>
          </cell>
          <cell r="B86" t="str">
            <v>GRIFFIN</v>
          </cell>
          <cell r="C86" t="str">
            <v>JAMES</v>
          </cell>
          <cell r="D86">
            <v>39145</v>
          </cell>
          <cell r="E86">
            <v>7.4989733059548254</v>
          </cell>
        </row>
        <row r="87">
          <cell r="A87">
            <v>172830</v>
          </cell>
          <cell r="B87" t="str">
            <v>LEVIN</v>
          </cell>
          <cell r="C87" t="str">
            <v>RACHEL</v>
          </cell>
          <cell r="D87">
            <v>39129</v>
          </cell>
          <cell r="E87">
            <v>7.5427789185489393</v>
          </cell>
        </row>
        <row r="88">
          <cell r="A88">
            <v>175008</v>
          </cell>
          <cell r="B88" t="str">
            <v>KANDER</v>
          </cell>
          <cell r="C88" t="str">
            <v>EITAN</v>
          </cell>
          <cell r="D88">
            <v>39123</v>
          </cell>
          <cell r="E88">
            <v>7.5592060232717317</v>
          </cell>
        </row>
        <row r="89">
          <cell r="A89">
            <v>170659</v>
          </cell>
          <cell r="B89" t="str">
            <v>MEHMETI</v>
          </cell>
          <cell r="C89" t="str">
            <v>NIDA</v>
          </cell>
          <cell r="D89">
            <v>39118</v>
          </cell>
          <cell r="E89">
            <v>7.5728952772073921</v>
          </cell>
        </row>
        <row r="90">
          <cell r="A90">
            <v>189651</v>
          </cell>
          <cell r="B90" t="str">
            <v>LERNER</v>
          </cell>
          <cell r="C90" t="str">
            <v>GELLA</v>
          </cell>
          <cell r="D90">
            <v>39097</v>
          </cell>
          <cell r="E90">
            <v>7.6303901437371664</v>
          </cell>
        </row>
        <row r="91">
          <cell r="A91">
            <v>197842</v>
          </cell>
          <cell r="B91" t="str">
            <v>HOBAN</v>
          </cell>
          <cell r="C91" t="str">
            <v>MEG</v>
          </cell>
          <cell r="D91">
            <v>39078</v>
          </cell>
          <cell r="E91">
            <v>7.6824093086926766</v>
          </cell>
        </row>
        <row r="92">
          <cell r="A92">
            <v>170897</v>
          </cell>
          <cell r="B92" t="str">
            <v>CARLTON-WALKER</v>
          </cell>
          <cell r="C92" t="str">
            <v>DANIEL</v>
          </cell>
          <cell r="D92">
            <v>39072</v>
          </cell>
          <cell r="E92">
            <v>7.698836413415469</v>
          </cell>
        </row>
        <row r="93">
          <cell r="A93">
            <v>203705</v>
          </cell>
          <cell r="B93" t="str">
            <v>ELDRETT</v>
          </cell>
          <cell r="C93" t="str">
            <v>HARLEY</v>
          </cell>
          <cell r="D93">
            <v>39070</v>
          </cell>
          <cell r="E93">
            <v>7.7043121149897331</v>
          </cell>
        </row>
        <row r="94">
          <cell r="A94">
            <v>171565</v>
          </cell>
          <cell r="B94" t="str">
            <v>MOHAMED</v>
          </cell>
          <cell r="C94" t="str">
            <v>ZAKARIA</v>
          </cell>
          <cell r="D94">
            <v>39057</v>
          </cell>
          <cell r="E94">
            <v>7.73990417522245</v>
          </cell>
        </row>
        <row r="95">
          <cell r="A95">
            <v>197813</v>
          </cell>
          <cell r="B95" t="str">
            <v>NIKOLOV</v>
          </cell>
          <cell r="C95" t="str">
            <v>LACHEZAR</v>
          </cell>
          <cell r="D95">
            <v>39052</v>
          </cell>
          <cell r="E95">
            <v>7.7535934291581112</v>
          </cell>
        </row>
        <row r="96">
          <cell r="A96">
            <v>210420</v>
          </cell>
          <cell r="B96" t="str">
            <v>SOCCIO-MARQUES</v>
          </cell>
          <cell r="C96" t="str">
            <v>DANKA</v>
          </cell>
          <cell r="D96">
            <v>39050</v>
          </cell>
          <cell r="E96">
            <v>7.7590691307323754</v>
          </cell>
        </row>
        <row r="97">
          <cell r="A97">
            <v>185293</v>
          </cell>
          <cell r="B97" t="str">
            <v>BOOKER</v>
          </cell>
          <cell r="C97" t="str">
            <v>GEORGE</v>
          </cell>
          <cell r="D97">
            <v>39050</v>
          </cell>
          <cell r="E97">
            <v>7.7590691307323754</v>
          </cell>
        </row>
        <row r="98">
          <cell r="A98">
            <v>212193</v>
          </cell>
          <cell r="B98" t="str">
            <v>POWER</v>
          </cell>
          <cell r="C98" t="str">
            <v>ELLIOT</v>
          </cell>
          <cell r="D98">
            <v>39048</v>
          </cell>
          <cell r="E98">
            <v>7.7645448323066395</v>
          </cell>
        </row>
        <row r="99">
          <cell r="A99">
            <v>152370</v>
          </cell>
          <cell r="B99" t="str">
            <v>ROODYN</v>
          </cell>
          <cell r="C99" t="str">
            <v>AHARON</v>
          </cell>
          <cell r="D99">
            <v>39010</v>
          </cell>
          <cell r="E99">
            <v>7.868583162217659</v>
          </cell>
        </row>
        <row r="100">
          <cell r="A100">
            <v>170701</v>
          </cell>
          <cell r="B100" t="str">
            <v>WALFISZ</v>
          </cell>
          <cell r="C100" t="str">
            <v>MAX</v>
          </cell>
          <cell r="D100">
            <v>39004</v>
          </cell>
          <cell r="E100">
            <v>7.8850102669404514</v>
          </cell>
        </row>
        <row r="101">
          <cell r="A101">
            <v>203459</v>
          </cell>
          <cell r="B101" t="str">
            <v>KASTRATI</v>
          </cell>
          <cell r="C101" t="str">
            <v>ERMIRA</v>
          </cell>
          <cell r="D101">
            <v>38995</v>
          </cell>
          <cell r="E101">
            <v>7.9096509240246409</v>
          </cell>
        </row>
        <row r="102">
          <cell r="A102">
            <v>213636</v>
          </cell>
          <cell r="B102" t="str">
            <v>CALIFF</v>
          </cell>
          <cell r="C102" t="str">
            <v>RAFAEL</v>
          </cell>
          <cell r="D102">
            <v>38989</v>
          </cell>
          <cell r="E102">
            <v>7.9260780287474333</v>
          </cell>
        </row>
        <row r="103">
          <cell r="A103">
            <v>197238</v>
          </cell>
          <cell r="B103" t="str">
            <v>ODUWOLE</v>
          </cell>
          <cell r="C103" t="str">
            <v>ODUBOLANLE</v>
          </cell>
          <cell r="D103">
            <v>38985</v>
          </cell>
          <cell r="E103">
            <v>7.9370294318959616</v>
          </cell>
        </row>
        <row r="104">
          <cell r="A104">
            <v>139217</v>
          </cell>
          <cell r="B104" t="str">
            <v>KORNICZKY</v>
          </cell>
          <cell r="C104" t="str">
            <v>CHARLOTTE</v>
          </cell>
          <cell r="D104">
            <v>38932</v>
          </cell>
          <cell r="E104">
            <v>8.0821355236139638</v>
          </cell>
        </row>
        <row r="105">
          <cell r="A105">
            <v>172510</v>
          </cell>
          <cell r="B105" t="str">
            <v>ABRAMOV</v>
          </cell>
          <cell r="C105" t="str">
            <v>ITTAMAR</v>
          </cell>
          <cell r="D105">
            <v>38868</v>
          </cell>
          <cell r="E105">
            <v>8.2573579739904179</v>
          </cell>
        </row>
        <row r="106">
          <cell r="A106">
            <v>183028</v>
          </cell>
          <cell r="B106" t="str">
            <v>OMIYI</v>
          </cell>
          <cell r="C106" t="str">
            <v>SAPIR</v>
          </cell>
          <cell r="D106">
            <v>38847</v>
          </cell>
          <cell r="E106">
            <v>8.3148528405201922</v>
          </cell>
        </row>
        <row r="107">
          <cell r="A107">
            <v>197817</v>
          </cell>
          <cell r="B107" t="str">
            <v>MONK</v>
          </cell>
          <cell r="C107" t="str">
            <v>NECHAMA</v>
          </cell>
          <cell r="D107">
            <v>38823</v>
          </cell>
          <cell r="E107">
            <v>8.3805612594113619</v>
          </cell>
        </row>
        <row r="108">
          <cell r="A108">
            <v>126122</v>
          </cell>
          <cell r="B108" t="str">
            <v>PRESS</v>
          </cell>
          <cell r="C108" t="str">
            <v>LAUREN</v>
          </cell>
          <cell r="D108">
            <v>38818</v>
          </cell>
          <cell r="E108">
            <v>8.3942505133470231</v>
          </cell>
        </row>
        <row r="109">
          <cell r="A109">
            <v>183859</v>
          </cell>
          <cell r="B109" t="str">
            <v>DAVIS</v>
          </cell>
          <cell r="C109" t="str">
            <v>JONATHAN (YONI)</v>
          </cell>
          <cell r="D109">
            <v>38817</v>
          </cell>
          <cell r="E109">
            <v>8.3969883641341543</v>
          </cell>
        </row>
        <row r="110">
          <cell r="A110">
            <v>148923</v>
          </cell>
          <cell r="B110" t="str">
            <v>LINDER</v>
          </cell>
          <cell r="C110" t="str">
            <v>BETHANY</v>
          </cell>
          <cell r="D110">
            <v>38815</v>
          </cell>
          <cell r="E110">
            <v>8.4024640657084184</v>
          </cell>
        </row>
        <row r="111">
          <cell r="A111">
            <v>267582</v>
          </cell>
          <cell r="B111" t="str">
            <v>OBASOLA</v>
          </cell>
          <cell r="C111" t="str">
            <v>KOREDE</v>
          </cell>
          <cell r="D111">
            <v>38814</v>
          </cell>
          <cell r="E111">
            <v>8.4052019164955514</v>
          </cell>
        </row>
        <row r="112">
          <cell r="A112">
            <v>144518</v>
          </cell>
          <cell r="B112" t="str">
            <v>DRYER</v>
          </cell>
          <cell r="C112" t="str">
            <v>AVIGAIL</v>
          </cell>
          <cell r="D112">
            <v>38792</v>
          </cell>
          <cell r="E112">
            <v>8.4654346338124569</v>
          </cell>
        </row>
        <row r="113">
          <cell r="A113">
            <v>199564</v>
          </cell>
          <cell r="B113" t="str">
            <v>PRABHAKAR</v>
          </cell>
          <cell r="C113" t="str">
            <v>ROHAN</v>
          </cell>
          <cell r="D113">
            <v>38773</v>
          </cell>
          <cell r="E113">
            <v>8.517453798767967</v>
          </cell>
        </row>
        <row r="114">
          <cell r="A114">
            <v>169113</v>
          </cell>
          <cell r="B114" t="str">
            <v>PETROU</v>
          </cell>
          <cell r="C114" t="str">
            <v>PETER</v>
          </cell>
          <cell r="D114">
            <v>38747</v>
          </cell>
          <cell r="E114">
            <v>8.5886379192334026</v>
          </cell>
        </row>
        <row r="115">
          <cell r="A115">
            <v>126943</v>
          </cell>
          <cell r="B115" t="str">
            <v>STEVENS</v>
          </cell>
          <cell r="C115" t="str">
            <v>REBEKAH</v>
          </cell>
          <cell r="D115">
            <v>38743</v>
          </cell>
          <cell r="E115">
            <v>8.5995893223819309</v>
          </cell>
        </row>
        <row r="116">
          <cell r="A116">
            <v>143188</v>
          </cell>
          <cell r="B116" t="str">
            <v>ROSE</v>
          </cell>
          <cell r="C116" t="str">
            <v>TALYA</v>
          </cell>
          <cell r="D116">
            <v>38736</v>
          </cell>
          <cell r="E116">
            <v>8.6187542778918544</v>
          </cell>
        </row>
        <row r="117">
          <cell r="A117">
            <v>301236</v>
          </cell>
          <cell r="B117" t="str">
            <v>ELLUL</v>
          </cell>
          <cell r="C117" t="str">
            <v>NATHAN</v>
          </cell>
          <cell r="D117">
            <v>38735</v>
          </cell>
          <cell r="E117">
            <v>8.6214921286789874</v>
          </cell>
        </row>
        <row r="118">
          <cell r="A118">
            <v>162764</v>
          </cell>
          <cell r="B118" t="str">
            <v>DA COSTA GOMES</v>
          </cell>
          <cell r="C118" t="str">
            <v>SHAHEED</v>
          </cell>
          <cell r="D118">
            <v>38727</v>
          </cell>
          <cell r="E118">
            <v>8.6433949349760439</v>
          </cell>
        </row>
        <row r="119">
          <cell r="A119">
            <v>172485</v>
          </cell>
          <cell r="B119" t="str">
            <v>O'KEEFE</v>
          </cell>
          <cell r="C119" t="str">
            <v>ALEXANDER</v>
          </cell>
          <cell r="D119">
            <v>38723</v>
          </cell>
          <cell r="E119">
            <v>8.6543463381245722</v>
          </cell>
        </row>
        <row r="120">
          <cell r="A120">
            <v>265879</v>
          </cell>
          <cell r="B120" t="str">
            <v>KIERSZ-BROWNSTONE</v>
          </cell>
          <cell r="C120" t="str">
            <v>SOPHIE</v>
          </cell>
          <cell r="D120">
            <v>38720</v>
          </cell>
          <cell r="E120">
            <v>8.6625598904859693</v>
          </cell>
        </row>
        <row r="121">
          <cell r="A121">
            <v>171852</v>
          </cell>
          <cell r="B121" t="str">
            <v>MAZINWOSU</v>
          </cell>
          <cell r="C121" t="str">
            <v>IKENNA</v>
          </cell>
          <cell r="D121">
            <v>38701</v>
          </cell>
          <cell r="E121">
            <v>8.7145790554414777</v>
          </cell>
        </row>
        <row r="122">
          <cell r="A122">
            <v>182820</v>
          </cell>
          <cell r="B122" t="str">
            <v>SLATER</v>
          </cell>
          <cell r="C122" t="str">
            <v>EMMA</v>
          </cell>
          <cell r="D122">
            <v>38677</v>
          </cell>
          <cell r="E122">
            <v>8.7802874743326491</v>
          </cell>
        </row>
        <row r="123">
          <cell r="A123">
            <v>174345</v>
          </cell>
          <cell r="B123" t="str">
            <v>JAMES</v>
          </cell>
          <cell r="C123" t="str">
            <v>CHYNA</v>
          </cell>
          <cell r="D123">
            <v>38666</v>
          </cell>
          <cell r="E123">
            <v>8.8104038329911027</v>
          </cell>
        </row>
        <row r="124">
          <cell r="A124">
            <v>155702</v>
          </cell>
          <cell r="B124" t="str">
            <v>LINDSAY</v>
          </cell>
          <cell r="C124" t="str">
            <v>CHASE</v>
          </cell>
          <cell r="D124">
            <v>38661</v>
          </cell>
          <cell r="E124">
            <v>8.8240930869267622</v>
          </cell>
        </row>
        <row r="125">
          <cell r="A125">
            <v>162666</v>
          </cell>
          <cell r="B125" t="str">
            <v>EDELSTEIN</v>
          </cell>
          <cell r="C125" t="str">
            <v>DAVID (SHULI)</v>
          </cell>
          <cell r="D125">
            <v>38645</v>
          </cell>
          <cell r="E125">
            <v>8.8678986995208753</v>
          </cell>
        </row>
        <row r="126">
          <cell r="A126">
            <v>117472</v>
          </cell>
          <cell r="B126" t="str">
            <v>WONG</v>
          </cell>
          <cell r="C126" t="str">
            <v>KAYE</v>
          </cell>
          <cell r="D126">
            <v>38636</v>
          </cell>
          <cell r="E126">
            <v>8.8925393566050648</v>
          </cell>
        </row>
        <row r="127">
          <cell r="A127">
            <v>265432</v>
          </cell>
          <cell r="B127" t="str">
            <v>MCDONAGH</v>
          </cell>
          <cell r="C127" t="str">
            <v>EDWARD</v>
          </cell>
          <cell r="D127">
            <v>38632</v>
          </cell>
          <cell r="E127">
            <v>8.9034907597535931</v>
          </cell>
        </row>
        <row r="128">
          <cell r="A128">
            <v>182746</v>
          </cell>
          <cell r="B128" t="str">
            <v>TWUMASI</v>
          </cell>
          <cell r="C128" t="str">
            <v>DAVID</v>
          </cell>
          <cell r="D128">
            <v>38554</v>
          </cell>
          <cell r="E128">
            <v>9.1170431211498979</v>
          </cell>
        </row>
        <row r="129">
          <cell r="A129">
            <v>155836</v>
          </cell>
          <cell r="B129" t="str">
            <v>LATTER</v>
          </cell>
          <cell r="C129" t="str">
            <v>GUY</v>
          </cell>
          <cell r="D129">
            <v>38539</v>
          </cell>
          <cell r="E129">
            <v>9.158110882956878</v>
          </cell>
        </row>
        <row r="130">
          <cell r="A130">
            <v>152088</v>
          </cell>
          <cell r="B130" t="str">
            <v>GALE</v>
          </cell>
          <cell r="C130" t="str">
            <v>JAMES</v>
          </cell>
          <cell r="D130">
            <v>38538</v>
          </cell>
          <cell r="E130">
            <v>9.160848733744011</v>
          </cell>
        </row>
        <row r="131">
          <cell r="A131">
            <v>171601</v>
          </cell>
          <cell r="B131" t="str">
            <v>KNOWLES</v>
          </cell>
          <cell r="C131" t="str">
            <v>LEWIS</v>
          </cell>
          <cell r="D131">
            <v>38537</v>
          </cell>
          <cell r="E131">
            <v>9.1635865845311422</v>
          </cell>
        </row>
        <row r="132">
          <cell r="A132">
            <v>270639</v>
          </cell>
          <cell r="B132" t="str">
            <v>DUBOW</v>
          </cell>
          <cell r="C132" t="str">
            <v>EMMA</v>
          </cell>
          <cell r="D132">
            <v>38523</v>
          </cell>
          <cell r="E132">
            <v>9.2019164955509929</v>
          </cell>
        </row>
        <row r="133">
          <cell r="A133">
            <v>300349</v>
          </cell>
          <cell r="B133" t="str">
            <v>KHALID</v>
          </cell>
          <cell r="C133" t="str">
            <v>IMMAN</v>
          </cell>
          <cell r="D133">
            <v>38520</v>
          </cell>
          <cell r="E133">
            <v>9.2101300479123882</v>
          </cell>
        </row>
        <row r="134">
          <cell r="A134">
            <v>117664</v>
          </cell>
          <cell r="B134" t="str">
            <v>McGREGOR</v>
          </cell>
          <cell r="C134" t="str">
            <v>TESS</v>
          </cell>
          <cell r="D134">
            <v>38518</v>
          </cell>
          <cell r="E134">
            <v>9.2156057494866523</v>
          </cell>
        </row>
        <row r="135">
          <cell r="A135">
            <v>155467</v>
          </cell>
          <cell r="B135" t="str">
            <v>LIEBERMAN</v>
          </cell>
          <cell r="C135" t="str">
            <v xml:space="preserve">PINCHOS </v>
          </cell>
          <cell r="D135">
            <v>38500</v>
          </cell>
          <cell r="E135">
            <v>9.2648870636550313</v>
          </cell>
        </row>
        <row r="136">
          <cell r="A136">
            <v>171060</v>
          </cell>
          <cell r="B136" t="str">
            <v>DJANOGLY</v>
          </cell>
          <cell r="C136" t="str">
            <v>SAMUEL</v>
          </cell>
          <cell r="D136">
            <v>38499</v>
          </cell>
          <cell r="E136">
            <v>9.2676249144421625</v>
          </cell>
        </row>
        <row r="137">
          <cell r="A137">
            <v>155866</v>
          </cell>
          <cell r="B137" t="str">
            <v>CANTY</v>
          </cell>
          <cell r="C137" t="str">
            <v>POPPY</v>
          </cell>
          <cell r="D137">
            <v>38496</v>
          </cell>
          <cell r="E137">
            <v>9.2758384668035596</v>
          </cell>
        </row>
        <row r="138">
          <cell r="A138">
            <v>125594</v>
          </cell>
          <cell r="B138" t="str">
            <v>MORGENSTERN</v>
          </cell>
          <cell r="C138" t="str">
            <v>GAMLIEL</v>
          </cell>
          <cell r="D138">
            <v>38481</v>
          </cell>
          <cell r="E138">
            <v>9.3169062286105415</v>
          </cell>
        </row>
        <row r="139">
          <cell r="A139">
            <v>163220</v>
          </cell>
          <cell r="B139" t="str">
            <v>LESMOND</v>
          </cell>
          <cell r="C139" t="str">
            <v>JONATHAN</v>
          </cell>
          <cell r="D139">
            <v>38452</v>
          </cell>
          <cell r="E139">
            <v>9.3963039014373724</v>
          </cell>
        </row>
        <row r="140">
          <cell r="A140">
            <v>232056</v>
          </cell>
          <cell r="B140" t="str">
            <v>MOHSENIAN</v>
          </cell>
          <cell r="C140" t="str">
            <v>ARAD</v>
          </cell>
          <cell r="D140">
            <v>38432</v>
          </cell>
          <cell r="E140">
            <v>9.4510609171800137</v>
          </cell>
        </row>
        <row r="141">
          <cell r="A141">
            <v>151041</v>
          </cell>
          <cell r="B141" t="str">
            <v>GRANT</v>
          </cell>
          <cell r="C141" t="str">
            <v>ELIAS</v>
          </cell>
          <cell r="D141">
            <v>38398</v>
          </cell>
          <cell r="E141">
            <v>9.5441478439425058</v>
          </cell>
        </row>
        <row r="142">
          <cell r="A142">
            <v>145042</v>
          </cell>
          <cell r="B142" t="str">
            <v>MARKS</v>
          </cell>
          <cell r="C142" t="str">
            <v>JOSHUA</v>
          </cell>
          <cell r="D142">
            <v>38388</v>
          </cell>
          <cell r="E142">
            <v>9.5715263518138265</v>
          </cell>
        </row>
        <row r="143">
          <cell r="A143">
            <v>264959</v>
          </cell>
          <cell r="B143" t="str">
            <v>DO ESPIRITO SANTO</v>
          </cell>
          <cell r="C143" t="str">
            <v>CLAYTON</v>
          </cell>
          <cell r="D143">
            <v>38383</v>
          </cell>
          <cell r="E143">
            <v>9.5852156057494859</v>
          </cell>
        </row>
        <row r="144">
          <cell r="A144">
            <v>203618</v>
          </cell>
          <cell r="B144" t="str">
            <v>ROSS</v>
          </cell>
          <cell r="C144" t="str">
            <v>JONATHAN</v>
          </cell>
          <cell r="D144">
            <v>38376</v>
          </cell>
          <cell r="E144">
            <v>9.6043805612594113</v>
          </cell>
        </row>
        <row r="145">
          <cell r="A145">
            <v>143224</v>
          </cell>
          <cell r="B145" t="str">
            <v>ZIMMER</v>
          </cell>
          <cell r="C145" t="str">
            <v>DAVID</v>
          </cell>
          <cell r="D145">
            <v>38337</v>
          </cell>
          <cell r="E145">
            <v>9.7111567419575628</v>
          </cell>
        </row>
        <row r="146">
          <cell r="A146">
            <v>150444</v>
          </cell>
          <cell r="B146" t="str">
            <v>STEINBERG</v>
          </cell>
          <cell r="C146" t="str">
            <v>ORA</v>
          </cell>
          <cell r="D146">
            <v>38330</v>
          </cell>
          <cell r="E146">
            <v>9.7303216974674882</v>
          </cell>
        </row>
        <row r="147">
          <cell r="A147">
            <v>145061</v>
          </cell>
          <cell r="B147" t="str">
            <v>GREENBLATT</v>
          </cell>
          <cell r="C147" t="str">
            <v>MOSHE</v>
          </cell>
          <cell r="D147">
            <v>38329</v>
          </cell>
          <cell r="E147">
            <v>9.7330595482546194</v>
          </cell>
        </row>
        <row r="148">
          <cell r="A148">
            <v>152076</v>
          </cell>
          <cell r="B148" t="str">
            <v>DINOWITZ</v>
          </cell>
          <cell r="C148" t="str">
            <v>EDAN</v>
          </cell>
          <cell r="D148">
            <v>38327</v>
          </cell>
          <cell r="E148">
            <v>9.7385352498288835</v>
          </cell>
        </row>
        <row r="149">
          <cell r="A149">
            <v>133907</v>
          </cell>
          <cell r="B149" t="str">
            <v>SILVERMAN</v>
          </cell>
          <cell r="C149" t="str">
            <v>THOMAS</v>
          </cell>
          <cell r="D149">
            <v>38323</v>
          </cell>
          <cell r="E149">
            <v>9.7494866529774136</v>
          </cell>
        </row>
        <row r="150">
          <cell r="A150">
            <v>100734</v>
          </cell>
          <cell r="B150" t="str">
            <v>COLLIS</v>
          </cell>
          <cell r="C150" t="str">
            <v>NATAN</v>
          </cell>
          <cell r="D150">
            <v>38321</v>
          </cell>
          <cell r="E150">
            <v>9.7549623545516777</v>
          </cell>
        </row>
        <row r="151">
          <cell r="A151">
            <v>146440</v>
          </cell>
          <cell r="B151" t="str">
            <v>HANNON</v>
          </cell>
          <cell r="C151" t="str">
            <v>LUKE</v>
          </cell>
          <cell r="D151">
            <v>38321</v>
          </cell>
          <cell r="E151">
            <v>9.7549623545516777</v>
          </cell>
        </row>
        <row r="152">
          <cell r="A152">
            <v>122026</v>
          </cell>
          <cell r="B152" t="str">
            <v>TUFFS</v>
          </cell>
          <cell r="C152" t="str">
            <v>NOAH</v>
          </cell>
          <cell r="D152">
            <v>38287</v>
          </cell>
          <cell r="E152">
            <v>9.848049281314168</v>
          </cell>
        </row>
        <row r="153">
          <cell r="A153">
            <v>216417</v>
          </cell>
          <cell r="B153" t="str">
            <v>MARTIN</v>
          </cell>
          <cell r="C153" t="str">
            <v>BELLASTAR</v>
          </cell>
          <cell r="D153">
            <v>38285</v>
          </cell>
          <cell r="E153">
            <v>9.8535249828884321</v>
          </cell>
        </row>
        <row r="154">
          <cell r="A154">
            <v>155607</v>
          </cell>
          <cell r="B154" t="str">
            <v>PATEL</v>
          </cell>
          <cell r="C154" t="str">
            <v>ANUSHKA</v>
          </cell>
          <cell r="D154">
            <v>38280</v>
          </cell>
          <cell r="E154">
            <v>9.8672142368240934</v>
          </cell>
        </row>
        <row r="155">
          <cell r="A155">
            <v>203342</v>
          </cell>
          <cell r="B155" t="str">
            <v>KATZ</v>
          </cell>
          <cell r="C155" t="str">
            <v>AARON</v>
          </cell>
          <cell r="D155">
            <v>38280</v>
          </cell>
          <cell r="E155">
            <v>9.8672142368240934</v>
          </cell>
        </row>
        <row r="156">
          <cell r="A156">
            <v>199131</v>
          </cell>
          <cell r="B156" t="str">
            <v>WILLIAMS</v>
          </cell>
          <cell r="C156" t="str">
            <v>JOSH</v>
          </cell>
          <cell r="D156">
            <v>38277</v>
          </cell>
          <cell r="E156">
            <v>9.8754277891854887</v>
          </cell>
        </row>
        <row r="157">
          <cell r="A157">
            <v>148459</v>
          </cell>
          <cell r="B157" t="str">
            <v>KERR</v>
          </cell>
          <cell r="C157" t="str">
            <v>JAHREL</v>
          </cell>
          <cell r="D157">
            <v>38275</v>
          </cell>
          <cell r="E157">
            <v>9.8809034907597528</v>
          </cell>
        </row>
        <row r="158">
          <cell r="A158">
            <v>275388</v>
          </cell>
          <cell r="B158" t="str">
            <v>ALTINSOY</v>
          </cell>
          <cell r="C158" t="str">
            <v>YASIN</v>
          </cell>
          <cell r="D158">
            <v>38243</v>
          </cell>
          <cell r="E158">
            <v>9.9685147159479808</v>
          </cell>
        </row>
        <row r="159">
          <cell r="A159">
            <v>182866</v>
          </cell>
          <cell r="B159" t="str">
            <v>ABRAHAMS</v>
          </cell>
          <cell r="C159" t="str">
            <v>YONI</v>
          </cell>
          <cell r="D159">
            <v>38233</v>
          </cell>
          <cell r="E159">
            <v>9.9958932238193015</v>
          </cell>
        </row>
        <row r="160">
          <cell r="A160">
            <v>195802</v>
          </cell>
          <cell r="B160" t="str">
            <v>ASTLEY</v>
          </cell>
          <cell r="C160" t="str">
            <v>OLIVIA</v>
          </cell>
          <cell r="D160">
            <v>38202</v>
          </cell>
          <cell r="E160">
            <v>10.080766598220396</v>
          </cell>
        </row>
        <row r="161">
          <cell r="A161">
            <v>133777</v>
          </cell>
          <cell r="B161" t="str">
            <v>BLAKER</v>
          </cell>
          <cell r="C161" t="str">
            <v>AMIEL</v>
          </cell>
          <cell r="D161">
            <v>38170</v>
          </cell>
          <cell r="E161">
            <v>10.168377823408624</v>
          </cell>
        </row>
        <row r="162">
          <cell r="A162">
            <v>224441</v>
          </cell>
          <cell r="B162" t="str">
            <v>JACOBSEN</v>
          </cell>
          <cell r="C162" t="str">
            <v>AARON</v>
          </cell>
          <cell r="D162">
            <v>38160</v>
          </cell>
          <cell r="E162">
            <v>10.195756331279945</v>
          </cell>
        </row>
        <row r="163">
          <cell r="A163">
            <v>255901</v>
          </cell>
          <cell r="B163" t="str">
            <v>ELMES</v>
          </cell>
          <cell r="C163" t="str">
            <v>FRANK</v>
          </cell>
          <cell r="D163">
            <v>38154</v>
          </cell>
          <cell r="E163">
            <v>10.212183436002737</v>
          </cell>
        </row>
        <row r="164">
          <cell r="A164">
            <v>133661</v>
          </cell>
          <cell r="B164" t="str">
            <v>HAMILTON</v>
          </cell>
          <cell r="C164" t="str">
            <v>RUBY</v>
          </cell>
          <cell r="D164">
            <v>38152</v>
          </cell>
          <cell r="E164">
            <v>10.217659137577002</v>
          </cell>
        </row>
        <row r="165">
          <cell r="A165">
            <v>228469</v>
          </cell>
          <cell r="B165" t="str">
            <v>SPIERLING</v>
          </cell>
          <cell r="C165" t="str">
            <v>CALLUM</v>
          </cell>
          <cell r="D165">
            <v>38131</v>
          </cell>
          <cell r="E165">
            <v>10.275154004106776</v>
          </cell>
        </row>
        <row r="166">
          <cell r="A166">
            <v>216403</v>
          </cell>
          <cell r="B166" t="str">
            <v>NWOSU</v>
          </cell>
          <cell r="C166" t="str">
            <v>CHARLES</v>
          </cell>
          <cell r="D166">
            <v>38126</v>
          </cell>
          <cell r="E166">
            <v>10.288843258042437</v>
          </cell>
        </row>
        <row r="167">
          <cell r="A167">
            <v>127595</v>
          </cell>
          <cell r="B167" t="str">
            <v>HARRIS</v>
          </cell>
          <cell r="C167" t="str">
            <v>EVA MARIE</v>
          </cell>
          <cell r="D167">
            <v>38121</v>
          </cell>
          <cell r="E167">
            <v>10.302532511978097</v>
          </cell>
        </row>
        <row r="168">
          <cell r="A168">
            <v>207832</v>
          </cell>
          <cell r="B168" t="str">
            <v>HALL</v>
          </cell>
          <cell r="C168" t="str">
            <v>HARMONY</v>
          </cell>
          <cell r="D168">
            <v>38119</v>
          </cell>
          <cell r="E168">
            <v>10.308008213552361</v>
          </cell>
        </row>
        <row r="169">
          <cell r="A169">
            <v>148769</v>
          </cell>
          <cell r="B169" t="str">
            <v>GOLDBERG</v>
          </cell>
          <cell r="C169" t="str">
            <v>BETZALEL</v>
          </cell>
          <cell r="D169">
            <v>38111</v>
          </cell>
          <cell r="E169">
            <v>10.329911019849419</v>
          </cell>
        </row>
        <row r="170">
          <cell r="A170">
            <v>128819</v>
          </cell>
          <cell r="B170" t="str">
            <v>BARS</v>
          </cell>
          <cell r="C170" t="str">
            <v>BARAN</v>
          </cell>
          <cell r="D170">
            <v>38104</v>
          </cell>
          <cell r="E170">
            <v>10.349075975359343</v>
          </cell>
        </row>
        <row r="171">
          <cell r="A171">
            <v>244601</v>
          </cell>
          <cell r="B171" t="str">
            <v>DAVIDSON</v>
          </cell>
          <cell r="C171" t="str">
            <v>FREDDIE</v>
          </cell>
          <cell r="D171">
            <v>38061</v>
          </cell>
          <cell r="E171">
            <v>10.466803559206022</v>
          </cell>
        </row>
        <row r="172">
          <cell r="A172">
            <v>274341</v>
          </cell>
          <cell r="B172" t="str">
            <v>ALEKSANDER</v>
          </cell>
          <cell r="C172" t="str">
            <v>SAMUEL</v>
          </cell>
          <cell r="D172">
            <v>38024</v>
          </cell>
          <cell r="E172">
            <v>10.568104038329912</v>
          </cell>
        </row>
        <row r="173">
          <cell r="A173">
            <v>217797</v>
          </cell>
          <cell r="B173" t="str">
            <v>CABACA</v>
          </cell>
          <cell r="C173" t="str">
            <v>JOSHUA</v>
          </cell>
          <cell r="D173">
            <v>38008</v>
          </cell>
          <cell r="E173">
            <v>10.611909650924025</v>
          </cell>
        </row>
        <row r="174">
          <cell r="A174">
            <v>260396</v>
          </cell>
          <cell r="B174" t="str">
            <v>ALI</v>
          </cell>
          <cell r="C174" t="str">
            <v>HAMZA</v>
          </cell>
          <cell r="D174">
            <v>37988</v>
          </cell>
          <cell r="E174">
            <v>10.666666666666666</v>
          </cell>
        </row>
        <row r="175">
          <cell r="A175">
            <v>128417</v>
          </cell>
          <cell r="B175" t="str">
            <v>SHAYA</v>
          </cell>
          <cell r="C175" t="str">
            <v>RACHEL</v>
          </cell>
          <cell r="D175">
            <v>37965</v>
          </cell>
          <cell r="E175">
            <v>10.729637234770705</v>
          </cell>
        </row>
        <row r="176">
          <cell r="A176">
            <v>104917</v>
          </cell>
          <cell r="B176" t="str">
            <v>FITZPATRICK</v>
          </cell>
          <cell r="C176" t="str">
            <v>LUCAS</v>
          </cell>
          <cell r="D176">
            <v>37963</v>
          </cell>
          <cell r="E176">
            <v>10.735112936344969</v>
          </cell>
        </row>
        <row r="177">
          <cell r="A177">
            <v>268899</v>
          </cell>
          <cell r="B177" t="str">
            <v>ZAK</v>
          </cell>
          <cell r="C177" t="str">
            <v>IDO</v>
          </cell>
          <cell r="D177">
            <v>37956</v>
          </cell>
          <cell r="E177">
            <v>10.754277891854894</v>
          </cell>
        </row>
        <row r="178">
          <cell r="A178">
            <v>155670</v>
          </cell>
          <cell r="B178" t="str">
            <v>BAKER</v>
          </cell>
          <cell r="C178" t="str">
            <v>ZACK</v>
          </cell>
          <cell r="D178">
            <v>37943</v>
          </cell>
          <cell r="E178">
            <v>10.789869952087612</v>
          </cell>
        </row>
        <row r="179">
          <cell r="A179">
            <v>251499</v>
          </cell>
          <cell r="B179" t="str">
            <v>SWIFT</v>
          </cell>
          <cell r="C179" t="str">
            <v>DYLAN</v>
          </cell>
          <cell r="D179">
            <v>37925</v>
          </cell>
          <cell r="E179">
            <v>10.839151266255989</v>
          </cell>
        </row>
        <row r="180">
          <cell r="A180">
            <v>270680</v>
          </cell>
          <cell r="B180" t="str">
            <v>SCHLEIDER</v>
          </cell>
          <cell r="C180" t="str">
            <v>GAVRIEL</v>
          </cell>
          <cell r="D180">
            <v>37924</v>
          </cell>
          <cell r="E180">
            <v>10.841889117043122</v>
          </cell>
        </row>
        <row r="181">
          <cell r="A181">
            <v>127119</v>
          </cell>
          <cell r="B181" t="str">
            <v>CASTLETON</v>
          </cell>
          <cell r="C181" t="str">
            <v>ELIAS</v>
          </cell>
          <cell r="D181">
            <v>37920</v>
          </cell>
          <cell r="E181">
            <v>10.85284052019165</v>
          </cell>
        </row>
        <row r="182">
          <cell r="A182">
            <v>126393</v>
          </cell>
          <cell r="B182" t="str">
            <v>PERTH</v>
          </cell>
          <cell r="C182" t="str">
            <v>TIARNAN</v>
          </cell>
          <cell r="D182">
            <v>37908</v>
          </cell>
          <cell r="E182">
            <v>10.885694729637235</v>
          </cell>
        </row>
        <row r="183">
          <cell r="A183">
            <v>157905</v>
          </cell>
          <cell r="B183" t="str">
            <v>ZEMAM</v>
          </cell>
          <cell r="C183" t="str">
            <v>HILBA</v>
          </cell>
          <cell r="D183">
            <v>37903</v>
          </cell>
          <cell r="E183">
            <v>10.899383983572895</v>
          </cell>
        </row>
        <row r="184">
          <cell r="A184">
            <v>281608</v>
          </cell>
          <cell r="B184" t="str">
            <v>BLOCH</v>
          </cell>
          <cell r="C184" t="str">
            <v>SHIMON</v>
          </cell>
          <cell r="D184">
            <v>37903</v>
          </cell>
          <cell r="E184">
            <v>10.899383983572895</v>
          </cell>
        </row>
        <row r="185">
          <cell r="A185">
            <v>196783</v>
          </cell>
          <cell r="B185" t="str">
            <v>SOUSSAN</v>
          </cell>
          <cell r="C185" t="str">
            <v>JACK</v>
          </cell>
          <cell r="D185">
            <v>37898</v>
          </cell>
          <cell r="E185">
            <v>10.913073237508556</v>
          </cell>
        </row>
        <row r="186">
          <cell r="A186">
            <v>130562</v>
          </cell>
          <cell r="B186" t="str">
            <v>CHAPMAN</v>
          </cell>
          <cell r="C186" t="str">
            <v>SARAH</v>
          </cell>
          <cell r="D186">
            <v>37896</v>
          </cell>
          <cell r="E186">
            <v>10.91854893908282</v>
          </cell>
        </row>
        <row r="187">
          <cell r="A187">
            <v>171474</v>
          </cell>
          <cell r="B187" t="str">
            <v>DAVIDSON-POSTON</v>
          </cell>
          <cell r="C187" t="str">
            <v>SAMUEL</v>
          </cell>
          <cell r="D187">
            <v>37896</v>
          </cell>
          <cell r="E187">
            <v>10.91854893908282</v>
          </cell>
        </row>
        <row r="188">
          <cell r="A188">
            <v>91389</v>
          </cell>
          <cell r="B188" t="str">
            <v>SAMUEL</v>
          </cell>
          <cell r="C188" t="str">
            <v>MICAH</v>
          </cell>
          <cell r="D188">
            <v>37874</v>
          </cell>
          <cell r="E188">
            <v>10.978781656399725</v>
          </cell>
        </row>
        <row r="189">
          <cell r="A189">
            <v>72172</v>
          </cell>
          <cell r="B189" t="str">
            <v>OSTFELD</v>
          </cell>
          <cell r="C189" t="str">
            <v>JONATHAN</v>
          </cell>
          <cell r="D189">
            <v>37844</v>
          </cell>
          <cell r="E189">
            <v>11.060917180013689</v>
          </cell>
        </row>
        <row r="190">
          <cell r="A190">
            <v>80864</v>
          </cell>
          <cell r="B190" t="str">
            <v>FREUNDLICH</v>
          </cell>
          <cell r="C190" t="str">
            <v>ETTY</v>
          </cell>
          <cell r="D190">
            <v>37830</v>
          </cell>
          <cell r="E190">
            <v>11.099247091033538</v>
          </cell>
        </row>
        <row r="191">
          <cell r="A191">
            <v>214693</v>
          </cell>
          <cell r="B191" t="str">
            <v>SHERWOOD</v>
          </cell>
          <cell r="C191" t="str">
            <v>SAMUEL</v>
          </cell>
          <cell r="D191">
            <v>37824</v>
          </cell>
          <cell r="E191">
            <v>11.115674195756331</v>
          </cell>
        </row>
        <row r="192">
          <cell r="A192">
            <v>252005</v>
          </cell>
          <cell r="B192" t="str">
            <v>SPECTOR</v>
          </cell>
          <cell r="C192" t="str">
            <v>YOSEF</v>
          </cell>
          <cell r="D192">
            <v>37816</v>
          </cell>
          <cell r="E192">
            <v>11.137577002053389</v>
          </cell>
        </row>
        <row r="193">
          <cell r="A193">
            <v>197346</v>
          </cell>
          <cell r="B193" t="str">
            <v>YADGAROFF</v>
          </cell>
          <cell r="C193" t="str">
            <v>RUEBAN</v>
          </cell>
          <cell r="D193">
            <v>37811</v>
          </cell>
          <cell r="E193">
            <v>11.151266255989048</v>
          </cell>
        </row>
        <row r="194">
          <cell r="A194">
            <v>108523</v>
          </cell>
          <cell r="B194" t="str">
            <v>McINTOSH</v>
          </cell>
          <cell r="C194" t="str">
            <v>TEVIS</v>
          </cell>
          <cell r="D194">
            <v>37810</v>
          </cell>
          <cell r="E194">
            <v>11.154004106776181</v>
          </cell>
        </row>
        <row r="195">
          <cell r="A195">
            <v>105855</v>
          </cell>
          <cell r="B195" t="str">
            <v>SAHYE</v>
          </cell>
          <cell r="C195" t="str">
            <v>RONIT</v>
          </cell>
          <cell r="D195">
            <v>37795</v>
          </cell>
          <cell r="E195">
            <v>11.195071868583161</v>
          </cell>
        </row>
        <row r="196">
          <cell r="A196">
            <v>64675</v>
          </cell>
          <cell r="B196" t="str">
            <v>COSGUN</v>
          </cell>
          <cell r="C196" t="str">
            <v>ISILAY</v>
          </cell>
          <cell r="D196">
            <v>37795</v>
          </cell>
          <cell r="E196">
            <v>11.195071868583161</v>
          </cell>
        </row>
        <row r="197">
          <cell r="A197">
            <v>106235</v>
          </cell>
          <cell r="B197" t="str">
            <v>BARUPS</v>
          </cell>
          <cell r="C197" t="str">
            <v>DANIELS</v>
          </cell>
          <cell r="D197">
            <v>37776</v>
          </cell>
          <cell r="E197">
            <v>11.247091033538672</v>
          </cell>
        </row>
        <row r="198">
          <cell r="A198">
            <v>106762</v>
          </cell>
          <cell r="B198" t="str">
            <v>WILLIAMS</v>
          </cell>
          <cell r="C198" t="str">
            <v>AMANI</v>
          </cell>
          <cell r="D198">
            <v>37776</v>
          </cell>
          <cell r="E198">
            <v>11.247091033538672</v>
          </cell>
        </row>
        <row r="199">
          <cell r="A199">
            <v>244722</v>
          </cell>
          <cell r="B199" t="str">
            <v>COHEN</v>
          </cell>
          <cell r="C199" t="str">
            <v>RAFI</v>
          </cell>
          <cell r="D199">
            <v>37774</v>
          </cell>
          <cell r="E199">
            <v>11.252566735112936</v>
          </cell>
        </row>
        <row r="200">
          <cell r="A200">
            <v>145550</v>
          </cell>
          <cell r="B200" t="str">
            <v>FARKYE</v>
          </cell>
          <cell r="C200" t="str">
            <v>STEPHEN</v>
          </cell>
          <cell r="D200">
            <v>37749</v>
          </cell>
          <cell r="E200">
            <v>11.321013004791238</v>
          </cell>
        </row>
        <row r="201">
          <cell r="A201">
            <v>93583</v>
          </cell>
          <cell r="B201" t="str">
            <v>PATEL</v>
          </cell>
          <cell r="C201" t="str">
            <v>AVISHA</v>
          </cell>
          <cell r="D201">
            <v>37747</v>
          </cell>
          <cell r="E201">
            <v>11.326488706365502</v>
          </cell>
        </row>
        <row r="202">
          <cell r="A202">
            <v>164116</v>
          </cell>
          <cell r="B202" t="str">
            <v>LEVY</v>
          </cell>
          <cell r="C202" t="str">
            <v>ZAC</v>
          </cell>
          <cell r="D202">
            <v>37740</v>
          </cell>
          <cell r="E202">
            <v>11.345653661875428</v>
          </cell>
        </row>
        <row r="203">
          <cell r="A203">
            <v>139197</v>
          </cell>
          <cell r="B203" t="str">
            <v>RAMESHKUMAR</v>
          </cell>
          <cell r="C203" t="str">
            <v>LUCKMY</v>
          </cell>
          <cell r="D203">
            <v>37730</v>
          </cell>
          <cell r="E203">
            <v>11.373032169746748</v>
          </cell>
        </row>
        <row r="204">
          <cell r="A204">
            <v>124633</v>
          </cell>
          <cell r="B204" t="str">
            <v>ROZMAN</v>
          </cell>
          <cell r="C204" t="str">
            <v>LUKA</v>
          </cell>
          <cell r="D204">
            <v>37724</v>
          </cell>
          <cell r="E204">
            <v>11.389459274469541</v>
          </cell>
        </row>
        <row r="205">
          <cell r="A205">
            <v>102271</v>
          </cell>
          <cell r="B205" t="str">
            <v>SADIK</v>
          </cell>
          <cell r="C205" t="str">
            <v>SION</v>
          </cell>
          <cell r="D205">
            <v>37718</v>
          </cell>
          <cell r="E205">
            <v>11.405886379192333</v>
          </cell>
        </row>
        <row r="206">
          <cell r="A206">
            <v>66231</v>
          </cell>
          <cell r="B206" t="str">
            <v>FRASER</v>
          </cell>
          <cell r="C206" t="str">
            <v>CHASYA</v>
          </cell>
          <cell r="D206">
            <v>37715</v>
          </cell>
          <cell r="E206">
            <v>11.41409993155373</v>
          </cell>
        </row>
        <row r="207">
          <cell r="A207">
            <v>225472</v>
          </cell>
          <cell r="B207" t="str">
            <v>DONALDSON-DAVIS</v>
          </cell>
          <cell r="C207" t="str">
            <v>JOOLS</v>
          </cell>
          <cell r="D207">
            <v>37709</v>
          </cell>
          <cell r="E207">
            <v>11.430527036276523</v>
          </cell>
        </row>
        <row r="208">
          <cell r="A208">
            <v>112424</v>
          </cell>
          <cell r="B208" t="str">
            <v>HOWARD</v>
          </cell>
          <cell r="C208" t="str">
            <v>KAED</v>
          </cell>
          <cell r="D208">
            <v>37699</v>
          </cell>
          <cell r="E208">
            <v>11.457905544147843</v>
          </cell>
        </row>
        <row r="209">
          <cell r="A209">
            <v>104289</v>
          </cell>
          <cell r="B209" t="str">
            <v>HARRIS-TIPLADY</v>
          </cell>
          <cell r="C209" t="str">
            <v>JOSHUA</v>
          </cell>
          <cell r="D209">
            <v>37698</v>
          </cell>
          <cell r="E209">
            <v>11.460643394934976</v>
          </cell>
        </row>
        <row r="210">
          <cell r="A210">
            <v>93429</v>
          </cell>
          <cell r="B210" t="str">
            <v>AHMED</v>
          </cell>
          <cell r="C210" t="str">
            <v>ALISHA</v>
          </cell>
          <cell r="D210">
            <v>37694</v>
          </cell>
          <cell r="E210">
            <v>11.471594798083505</v>
          </cell>
        </row>
        <row r="211">
          <cell r="A211">
            <v>100616</v>
          </cell>
          <cell r="B211" t="str">
            <v>AKAR</v>
          </cell>
          <cell r="C211" t="str">
            <v>SANNAH</v>
          </cell>
          <cell r="D211">
            <v>37673</v>
          </cell>
          <cell r="E211">
            <v>11.529089664613279</v>
          </cell>
        </row>
        <row r="212">
          <cell r="A212">
            <v>102540</v>
          </cell>
          <cell r="B212" t="str">
            <v>NORTON-PAICE</v>
          </cell>
          <cell r="C212" t="str">
            <v>WILLIAM</v>
          </cell>
          <cell r="D212">
            <v>37672</v>
          </cell>
          <cell r="E212">
            <v>11.53182751540041</v>
          </cell>
        </row>
        <row r="213">
          <cell r="A213">
            <v>281412</v>
          </cell>
          <cell r="B213" t="str">
            <v>IVES</v>
          </cell>
          <cell r="C213" t="str">
            <v>AHUVA</v>
          </cell>
          <cell r="D213">
            <v>37656</v>
          </cell>
          <cell r="E213">
            <v>11.575633127994525</v>
          </cell>
        </row>
        <row r="214">
          <cell r="A214">
            <v>111547</v>
          </cell>
          <cell r="B214" t="str">
            <v>ALI</v>
          </cell>
          <cell r="C214" t="str">
            <v>MOHAMMED</v>
          </cell>
          <cell r="D214">
            <v>37645</v>
          </cell>
          <cell r="E214">
            <v>11.605749486652977</v>
          </cell>
        </row>
        <row r="215">
          <cell r="A215">
            <v>92427</v>
          </cell>
          <cell r="B215" t="str">
            <v>THOMAS-CONSTANTINOU</v>
          </cell>
          <cell r="C215" t="str">
            <v>HARVEE</v>
          </cell>
          <cell r="D215">
            <v>37635</v>
          </cell>
          <cell r="E215">
            <v>11.633127994524298</v>
          </cell>
        </row>
        <row r="216">
          <cell r="A216">
            <v>106432</v>
          </cell>
          <cell r="B216" t="str">
            <v>LOKUGE</v>
          </cell>
          <cell r="C216" t="str">
            <v>SAKITH</v>
          </cell>
          <cell r="D216">
            <v>37632</v>
          </cell>
          <cell r="E216">
            <v>11.641341546885695</v>
          </cell>
        </row>
        <row r="217">
          <cell r="A217">
            <v>112077</v>
          </cell>
          <cell r="B217" t="str">
            <v>GIBSON</v>
          </cell>
          <cell r="C217" t="str">
            <v>JEROME</v>
          </cell>
          <cell r="D217">
            <v>37631</v>
          </cell>
          <cell r="E217">
            <v>11.644079397672828</v>
          </cell>
        </row>
        <row r="218">
          <cell r="A218">
            <v>127117</v>
          </cell>
          <cell r="B218" t="str">
            <v>MERCIER</v>
          </cell>
          <cell r="C218" t="str">
            <v>LUKE</v>
          </cell>
          <cell r="D218">
            <v>37626</v>
          </cell>
          <cell r="E218">
            <v>11.657768651608487</v>
          </cell>
        </row>
        <row r="219">
          <cell r="A219">
            <v>157777</v>
          </cell>
          <cell r="B219" t="str">
            <v>ZRIHEN</v>
          </cell>
          <cell r="C219" t="str">
            <v>ASHER</v>
          </cell>
          <cell r="D219">
            <v>37618</v>
          </cell>
          <cell r="E219">
            <v>11.679671457905544</v>
          </cell>
        </row>
        <row r="220">
          <cell r="A220">
            <v>226826</v>
          </cell>
          <cell r="B220" t="str">
            <v>MANSON</v>
          </cell>
          <cell r="C220" t="str">
            <v>YISRAEL</v>
          </cell>
          <cell r="D220">
            <v>37616</v>
          </cell>
          <cell r="E220">
            <v>11.685147159479808</v>
          </cell>
        </row>
        <row r="221">
          <cell r="A221">
            <v>78997</v>
          </cell>
          <cell r="B221" t="str">
            <v>SIMON</v>
          </cell>
          <cell r="C221" t="str">
            <v>REUBAN</v>
          </cell>
          <cell r="D221">
            <v>37615</v>
          </cell>
          <cell r="E221">
            <v>11.687885010266941</v>
          </cell>
        </row>
        <row r="222">
          <cell r="A222">
            <v>78997</v>
          </cell>
          <cell r="B222" t="str">
            <v>SIMON</v>
          </cell>
          <cell r="C222" t="str">
            <v>REUBEN</v>
          </cell>
          <cell r="D222">
            <v>37615</v>
          </cell>
          <cell r="E222">
            <v>11.687885010266941</v>
          </cell>
        </row>
        <row r="223">
          <cell r="A223">
            <v>78997</v>
          </cell>
          <cell r="B223" t="str">
            <v>SIMON</v>
          </cell>
          <cell r="C223" t="str">
            <v>REUBAN</v>
          </cell>
          <cell r="D223">
            <v>37615</v>
          </cell>
          <cell r="E223">
            <v>11.687885010266941</v>
          </cell>
        </row>
        <row r="224">
          <cell r="A224">
            <v>78997</v>
          </cell>
          <cell r="B224" t="str">
            <v>SIMON</v>
          </cell>
          <cell r="C224" t="str">
            <v>REUBEN</v>
          </cell>
          <cell r="D224">
            <v>37615</v>
          </cell>
          <cell r="E224">
            <v>11.687885010266941</v>
          </cell>
        </row>
        <row r="225">
          <cell r="A225">
            <v>82377</v>
          </cell>
          <cell r="B225" t="str">
            <v>WARSHAWSKY</v>
          </cell>
          <cell r="C225" t="str">
            <v>SARAH</v>
          </cell>
          <cell r="D225">
            <v>37603</v>
          </cell>
          <cell r="E225">
            <v>11.720739219712526</v>
          </cell>
        </row>
        <row r="226">
          <cell r="A226">
            <v>130531</v>
          </cell>
          <cell r="B226" t="str">
            <v>CANTOR</v>
          </cell>
          <cell r="C226" t="str">
            <v>EITAN</v>
          </cell>
          <cell r="D226">
            <v>37573</v>
          </cell>
          <cell r="E226">
            <v>11.802874743326489</v>
          </cell>
        </row>
        <row r="227">
          <cell r="A227">
            <v>104816</v>
          </cell>
          <cell r="B227" t="str">
            <v>EMERSON</v>
          </cell>
          <cell r="C227" t="str">
            <v>DENZEL</v>
          </cell>
          <cell r="D227">
            <v>37566</v>
          </cell>
          <cell r="E227">
            <v>11.822039698836413</v>
          </cell>
        </row>
        <row r="228">
          <cell r="A228">
            <v>100678</v>
          </cell>
          <cell r="B228" t="str">
            <v>CARNO</v>
          </cell>
          <cell r="C228" t="str">
            <v>MAAYAN</v>
          </cell>
          <cell r="D228">
            <v>37560</v>
          </cell>
          <cell r="E228">
            <v>11.838466803559205</v>
          </cell>
        </row>
        <row r="229">
          <cell r="A229">
            <v>264806</v>
          </cell>
          <cell r="B229" t="str">
            <v>RUSSELL</v>
          </cell>
          <cell r="C229" t="str">
            <v>JOSHUA</v>
          </cell>
          <cell r="D229">
            <v>37526</v>
          </cell>
          <cell r="E229">
            <v>11.931553730321697</v>
          </cell>
        </row>
        <row r="230">
          <cell r="A230">
            <v>234964</v>
          </cell>
          <cell r="B230" t="str">
            <v>SACK</v>
          </cell>
          <cell r="C230" t="str">
            <v>SHIMSHON</v>
          </cell>
          <cell r="D230">
            <v>37515</v>
          </cell>
          <cell r="E230">
            <v>11.961670088980151</v>
          </cell>
        </row>
        <row r="231">
          <cell r="A231">
            <v>107332</v>
          </cell>
          <cell r="B231" t="str">
            <v>ISMOND-PARKER</v>
          </cell>
          <cell r="C231" t="str">
            <v>ISAIAH</v>
          </cell>
          <cell r="D231">
            <v>37514</v>
          </cell>
          <cell r="E231">
            <v>11.964407939767282</v>
          </cell>
        </row>
        <row r="232">
          <cell r="A232">
            <v>99251</v>
          </cell>
          <cell r="B232" t="str">
            <v>GOLDFARB</v>
          </cell>
          <cell r="C232" t="str">
            <v>LIZZI</v>
          </cell>
          <cell r="D232">
            <v>37512</v>
          </cell>
          <cell r="E232">
            <v>11.969883641341546</v>
          </cell>
        </row>
        <row r="233">
          <cell r="A233">
            <v>73359</v>
          </cell>
          <cell r="B233" t="str">
            <v>CRONIN</v>
          </cell>
          <cell r="C233" t="str">
            <v>OWEN</v>
          </cell>
          <cell r="D233">
            <v>37497</v>
          </cell>
          <cell r="E233">
            <v>12.010951403148528</v>
          </cell>
        </row>
        <row r="234">
          <cell r="A234">
            <v>75009</v>
          </cell>
          <cell r="B234" t="str">
            <v>TOPER</v>
          </cell>
          <cell r="C234" t="str">
            <v>MAX</v>
          </cell>
          <cell r="D234">
            <v>37492</v>
          </cell>
          <cell r="E234">
            <v>12.024640657084189</v>
          </cell>
        </row>
        <row r="235">
          <cell r="A235">
            <v>82079</v>
          </cell>
          <cell r="B235" t="str">
            <v>WILDE</v>
          </cell>
          <cell r="C235" t="str">
            <v>CARLO</v>
          </cell>
          <cell r="D235">
            <v>37489</v>
          </cell>
          <cell r="E235">
            <v>12.032854209445585</v>
          </cell>
        </row>
        <row r="236">
          <cell r="A236">
            <v>65828</v>
          </cell>
          <cell r="B236" t="str">
            <v>POPATIYA</v>
          </cell>
          <cell r="C236" t="str">
            <v>PREM</v>
          </cell>
          <cell r="D236">
            <v>37480</v>
          </cell>
          <cell r="E236">
            <v>12.057494866529774</v>
          </cell>
        </row>
        <row r="237">
          <cell r="A237">
            <v>72815</v>
          </cell>
          <cell r="B237" t="str">
            <v>CHOW</v>
          </cell>
          <cell r="C237" t="str">
            <v>TOBEY</v>
          </cell>
          <cell r="D237">
            <v>37475</v>
          </cell>
          <cell r="E237">
            <v>12.071184120465434</v>
          </cell>
        </row>
        <row r="238">
          <cell r="A238">
            <v>226520</v>
          </cell>
          <cell r="B238" t="str">
            <v>JAMA</v>
          </cell>
          <cell r="C238" t="str">
            <v>ZABIR</v>
          </cell>
          <cell r="D238">
            <v>37463</v>
          </cell>
          <cell r="E238">
            <v>12.10403832991102</v>
          </cell>
        </row>
        <row r="239">
          <cell r="A239">
            <v>91351</v>
          </cell>
          <cell r="B239" t="str">
            <v>MOXOM</v>
          </cell>
          <cell r="C239" t="str">
            <v>CHLOE</v>
          </cell>
          <cell r="D239">
            <v>37458</v>
          </cell>
          <cell r="E239">
            <v>12.11772758384668</v>
          </cell>
        </row>
        <row r="240">
          <cell r="A240">
            <v>234024</v>
          </cell>
          <cell r="B240" t="str">
            <v>MAWESI</v>
          </cell>
          <cell r="C240" t="str">
            <v>VANQUEUR</v>
          </cell>
          <cell r="D240">
            <v>37450</v>
          </cell>
          <cell r="E240">
            <v>12.139630390143736</v>
          </cell>
        </row>
        <row r="241">
          <cell r="A241">
            <v>73428</v>
          </cell>
          <cell r="B241" t="str">
            <v>POSSAMAI</v>
          </cell>
          <cell r="C241" t="str">
            <v>MICHELE</v>
          </cell>
          <cell r="D241">
            <v>37445</v>
          </cell>
          <cell r="E241">
            <v>12.153319644079398</v>
          </cell>
        </row>
        <row r="242">
          <cell r="A242">
            <v>251795</v>
          </cell>
          <cell r="B242" t="str">
            <v>ROGOFF</v>
          </cell>
          <cell r="C242" t="str">
            <v>BENNY</v>
          </cell>
          <cell r="D242">
            <v>37423</v>
          </cell>
          <cell r="E242">
            <v>12.213552361396303</v>
          </cell>
        </row>
        <row r="243">
          <cell r="A243">
            <v>271189</v>
          </cell>
          <cell r="B243" t="str">
            <v>SCOTT</v>
          </cell>
          <cell r="C243" t="str">
            <v>SEAN</v>
          </cell>
          <cell r="D243">
            <v>37414</v>
          </cell>
          <cell r="E243">
            <v>12.238193018480493</v>
          </cell>
        </row>
        <row r="244">
          <cell r="A244">
            <v>81612</v>
          </cell>
          <cell r="B244" t="str">
            <v>MAXWELL-JACKSON</v>
          </cell>
          <cell r="C244" t="str">
            <v>JOEL</v>
          </cell>
          <cell r="D244">
            <v>37413</v>
          </cell>
          <cell r="E244">
            <v>12.240930869267626</v>
          </cell>
        </row>
        <row r="245">
          <cell r="A245">
            <v>201057</v>
          </cell>
          <cell r="B245" t="str">
            <v>HARRINGTON ALLEN</v>
          </cell>
          <cell r="C245" t="str">
            <v>LOUIE</v>
          </cell>
          <cell r="D245">
            <v>37411</v>
          </cell>
          <cell r="E245">
            <v>12.24640657084189</v>
          </cell>
        </row>
        <row r="246">
          <cell r="A246">
            <v>247674</v>
          </cell>
          <cell r="B246" t="str">
            <v>DOUGLAS</v>
          </cell>
          <cell r="C246" t="str">
            <v>JUSTIN</v>
          </cell>
          <cell r="D246">
            <v>37385</v>
          </cell>
          <cell r="E246">
            <v>12.317590691307323</v>
          </cell>
        </row>
        <row r="247">
          <cell r="A247">
            <v>73720</v>
          </cell>
          <cell r="B247" t="str">
            <v>BENTLEY</v>
          </cell>
          <cell r="C247" t="str">
            <v>NATHAN</v>
          </cell>
          <cell r="D247">
            <v>37378</v>
          </cell>
          <cell r="E247">
            <v>12.336755646817249</v>
          </cell>
        </row>
        <row r="248">
          <cell r="A248">
            <v>124622</v>
          </cell>
          <cell r="B248" t="str">
            <v>COPE</v>
          </cell>
          <cell r="C248" t="str">
            <v>SHOSHANA</v>
          </cell>
          <cell r="D248">
            <v>37364</v>
          </cell>
          <cell r="E248">
            <v>12.375085557837098</v>
          </cell>
        </row>
        <row r="249">
          <cell r="A249">
            <v>175864</v>
          </cell>
          <cell r="B249" t="str">
            <v>HAYAT</v>
          </cell>
          <cell r="C249" t="str">
            <v>ESAH</v>
          </cell>
          <cell r="D249">
            <v>37330</v>
          </cell>
          <cell r="E249">
            <v>12.46817248459959</v>
          </cell>
        </row>
        <row r="250">
          <cell r="A250">
            <v>68997</v>
          </cell>
          <cell r="B250" t="str">
            <v>ANAND</v>
          </cell>
          <cell r="C250" t="str">
            <v>NEEL</v>
          </cell>
          <cell r="D250">
            <v>37321</v>
          </cell>
          <cell r="E250">
            <v>12.492813141683778</v>
          </cell>
        </row>
        <row r="251">
          <cell r="A251">
            <v>65347</v>
          </cell>
          <cell r="B251" t="str">
            <v>GINSBURY</v>
          </cell>
          <cell r="C251" t="str">
            <v>YEHUDA (GRAHAM)</v>
          </cell>
          <cell r="D251">
            <v>37310</v>
          </cell>
          <cell r="E251">
            <v>12.522929500342231</v>
          </cell>
        </row>
        <row r="252">
          <cell r="A252">
            <v>75483</v>
          </cell>
          <cell r="B252" t="str">
            <v>VINER</v>
          </cell>
          <cell r="C252" t="str">
            <v>ADAM JOSHUA</v>
          </cell>
          <cell r="D252">
            <v>37295</v>
          </cell>
          <cell r="E252">
            <v>12.563997262149213</v>
          </cell>
        </row>
        <row r="253">
          <cell r="A253">
            <v>81903</v>
          </cell>
          <cell r="B253" t="str">
            <v>CHECCHETTO</v>
          </cell>
          <cell r="C253" t="str">
            <v>BILLIE</v>
          </cell>
          <cell r="D253">
            <v>37282</v>
          </cell>
          <cell r="E253">
            <v>12.599589322381931</v>
          </cell>
        </row>
        <row r="254">
          <cell r="A254">
            <v>73666</v>
          </cell>
          <cell r="B254" t="str">
            <v>KOSINER</v>
          </cell>
          <cell r="C254" t="str">
            <v>ARI</v>
          </cell>
          <cell r="D254">
            <v>37275</v>
          </cell>
          <cell r="E254">
            <v>12.618754277891854</v>
          </cell>
        </row>
        <row r="255">
          <cell r="A255">
            <v>264133</v>
          </cell>
          <cell r="B255" t="str">
            <v>POLLACK</v>
          </cell>
          <cell r="C255" t="str">
            <v>OSCAR</v>
          </cell>
          <cell r="D255">
            <v>37264</v>
          </cell>
          <cell r="E255">
            <v>12.648870636550308</v>
          </cell>
        </row>
        <row r="256">
          <cell r="A256">
            <v>211030</v>
          </cell>
          <cell r="B256" t="str">
            <v>NDJOLI</v>
          </cell>
          <cell r="C256" t="str">
            <v>JACOB</v>
          </cell>
          <cell r="D256">
            <v>37259</v>
          </cell>
          <cell r="E256">
            <v>12.662559890485969</v>
          </cell>
        </row>
        <row r="257">
          <cell r="A257">
            <v>74831</v>
          </cell>
          <cell r="B257" t="str">
            <v>ROSENFELD</v>
          </cell>
          <cell r="C257" t="str">
            <v>GAVRIEL</v>
          </cell>
          <cell r="D257">
            <v>37257</v>
          </cell>
          <cell r="E257">
            <v>12.668035592060233</v>
          </cell>
        </row>
        <row r="258">
          <cell r="A258">
            <v>213503</v>
          </cell>
          <cell r="B258" t="str">
            <v>BRIEF</v>
          </cell>
          <cell r="C258" t="str">
            <v>SOLOMON</v>
          </cell>
          <cell r="D258">
            <v>37256</v>
          </cell>
          <cell r="E258">
            <v>12.670773442847365</v>
          </cell>
        </row>
        <row r="259">
          <cell r="A259">
            <v>65184</v>
          </cell>
          <cell r="B259" t="str">
            <v>ROSENBLUM</v>
          </cell>
          <cell r="C259" t="str">
            <v>PINCHAS</v>
          </cell>
          <cell r="D259">
            <v>37255</v>
          </cell>
          <cell r="E259">
            <v>12.673511293634498</v>
          </cell>
        </row>
        <row r="260">
          <cell r="A260">
            <v>63780</v>
          </cell>
          <cell r="B260" t="str">
            <v>DHALLA</v>
          </cell>
          <cell r="C260" t="str">
            <v>SAIF</v>
          </cell>
          <cell r="D260">
            <v>37252</v>
          </cell>
          <cell r="E260">
            <v>12.681724845995893</v>
          </cell>
        </row>
        <row r="261">
          <cell r="A261">
            <v>65292</v>
          </cell>
          <cell r="B261" t="str">
            <v>PITTS-BRENNAN</v>
          </cell>
          <cell r="C261" t="str">
            <v>PEARL</v>
          </cell>
          <cell r="D261">
            <v>37242</v>
          </cell>
          <cell r="E261">
            <v>12.709103353867214</v>
          </cell>
        </row>
        <row r="262">
          <cell r="A262">
            <v>127085</v>
          </cell>
          <cell r="B262" t="str">
            <v>KANEL</v>
          </cell>
          <cell r="C262" t="str">
            <v>SARTHAK</v>
          </cell>
          <cell r="D262">
            <v>37242</v>
          </cell>
          <cell r="E262">
            <v>12.709103353867214</v>
          </cell>
        </row>
        <row r="263">
          <cell r="A263">
            <v>235407</v>
          </cell>
          <cell r="B263" t="str">
            <v>ALTMANN</v>
          </cell>
          <cell r="C263" t="str">
            <v>GEORGINA</v>
          </cell>
          <cell r="D263">
            <v>37217</v>
          </cell>
          <cell r="E263">
            <v>12.777549623545516</v>
          </cell>
        </row>
        <row r="264">
          <cell r="A264">
            <v>86315</v>
          </cell>
          <cell r="B264" t="str">
            <v>GOMES</v>
          </cell>
          <cell r="C264" t="str">
            <v>KAYSON</v>
          </cell>
          <cell r="D264">
            <v>37202</v>
          </cell>
          <cell r="E264">
            <v>12.818617385352498</v>
          </cell>
        </row>
        <row r="265">
          <cell r="A265">
            <v>73219</v>
          </cell>
          <cell r="B265" t="str">
            <v>GOODCHILD</v>
          </cell>
          <cell r="C265" t="str">
            <v>JACK</v>
          </cell>
          <cell r="D265">
            <v>37188</v>
          </cell>
          <cell r="E265">
            <v>12.856947296372347</v>
          </cell>
        </row>
        <row r="266">
          <cell r="A266">
            <v>144784</v>
          </cell>
          <cell r="B266" t="str">
            <v>NOEMAN</v>
          </cell>
          <cell r="C266" t="str">
            <v>YUSSEF</v>
          </cell>
          <cell r="D266">
            <v>37178</v>
          </cell>
          <cell r="E266">
            <v>12.884325804243669</v>
          </cell>
        </row>
        <row r="267">
          <cell r="A267">
            <v>99317</v>
          </cell>
          <cell r="B267" t="str">
            <v>COHEN</v>
          </cell>
          <cell r="C267" t="str">
            <v>ANTHONY</v>
          </cell>
          <cell r="D267">
            <v>37172</v>
          </cell>
          <cell r="E267">
            <v>12.900752908966462</v>
          </cell>
        </row>
        <row r="268">
          <cell r="A268">
            <v>216420</v>
          </cell>
          <cell r="B268" t="str">
            <v>KONASIEWICZ</v>
          </cell>
          <cell r="C268" t="str">
            <v>KEWIN</v>
          </cell>
          <cell r="D268">
            <v>37160</v>
          </cell>
          <cell r="E268">
            <v>12.933607118412047</v>
          </cell>
        </row>
        <row r="269">
          <cell r="A269">
            <v>81274</v>
          </cell>
          <cell r="B269" t="str">
            <v>APPELQUIST</v>
          </cell>
          <cell r="C269" t="str">
            <v>ALEXANDER</v>
          </cell>
          <cell r="D269">
            <v>37157</v>
          </cell>
          <cell r="E269">
            <v>12.941820670773442</v>
          </cell>
        </row>
        <row r="270">
          <cell r="A270">
            <v>103579</v>
          </cell>
          <cell r="B270" t="str">
            <v>SMIKLE-JOSHUA</v>
          </cell>
          <cell r="C270" t="str">
            <v>JADEN</v>
          </cell>
          <cell r="D270">
            <v>37157</v>
          </cell>
          <cell r="E270">
            <v>12.941820670773442</v>
          </cell>
        </row>
        <row r="271">
          <cell r="A271">
            <v>226322</v>
          </cell>
          <cell r="B271" t="str">
            <v>ABRAHAM</v>
          </cell>
          <cell r="C271" t="str">
            <v>RAPHAEL</v>
          </cell>
          <cell r="D271">
            <v>37149</v>
          </cell>
          <cell r="E271">
            <v>12.9637234770705</v>
          </cell>
        </row>
        <row r="272">
          <cell r="A272">
            <v>65333</v>
          </cell>
          <cell r="B272" t="str">
            <v>SCRUTON</v>
          </cell>
          <cell r="C272" t="str">
            <v>KIRA</v>
          </cell>
          <cell r="D272">
            <v>37147</v>
          </cell>
          <cell r="E272">
            <v>12.969199178644764</v>
          </cell>
        </row>
        <row r="273">
          <cell r="A273">
            <v>65213</v>
          </cell>
          <cell r="B273" t="str">
            <v>WEST</v>
          </cell>
          <cell r="C273" t="str">
            <v>DENNON</v>
          </cell>
          <cell r="D273">
            <v>37146</v>
          </cell>
          <cell r="E273">
            <v>12.971937029431896</v>
          </cell>
        </row>
        <row r="274">
          <cell r="A274">
            <v>224475</v>
          </cell>
          <cell r="B274" t="str">
            <v>BUSIGWA</v>
          </cell>
          <cell r="C274" t="str">
            <v>DAVID</v>
          </cell>
          <cell r="D274">
            <v>37138</v>
          </cell>
          <cell r="E274">
            <v>12.993839835728952</v>
          </cell>
        </row>
        <row r="275">
          <cell r="A275">
            <v>80971</v>
          </cell>
          <cell r="B275" t="str">
            <v>MOORCROFT-HOGAN</v>
          </cell>
          <cell r="C275" t="str">
            <v>SHAI</v>
          </cell>
          <cell r="D275">
            <v>37134</v>
          </cell>
          <cell r="E275">
            <v>13.00479123887748</v>
          </cell>
        </row>
        <row r="276">
          <cell r="A276">
            <v>201065</v>
          </cell>
          <cell r="B276" t="str">
            <v>HOARE</v>
          </cell>
          <cell r="C276" t="str">
            <v>GARETH</v>
          </cell>
          <cell r="D276">
            <v>37132</v>
          </cell>
          <cell r="E276">
            <v>13.010266940451745</v>
          </cell>
        </row>
        <row r="277">
          <cell r="A277">
            <v>155612</v>
          </cell>
          <cell r="B277" t="str">
            <v>STEINBOCK</v>
          </cell>
          <cell r="C277" t="str">
            <v>DAVID</v>
          </cell>
          <cell r="D277">
            <v>37126</v>
          </cell>
          <cell r="E277">
            <v>13.026694045174539</v>
          </cell>
        </row>
        <row r="278">
          <cell r="A278">
            <v>125286</v>
          </cell>
          <cell r="B278" t="str">
            <v>DULCKEN</v>
          </cell>
          <cell r="C278" t="str">
            <v>THOMAS</v>
          </cell>
          <cell r="D278">
            <v>37125</v>
          </cell>
          <cell r="E278">
            <v>13.02943189596167</v>
          </cell>
        </row>
        <row r="279">
          <cell r="A279">
            <v>65215</v>
          </cell>
          <cell r="B279" t="str">
            <v>HAMIYOU-AZAM</v>
          </cell>
          <cell r="C279" t="str">
            <v>SABAA</v>
          </cell>
          <cell r="D279">
            <v>37118</v>
          </cell>
          <cell r="E279">
            <v>13.048596851471595</v>
          </cell>
        </row>
        <row r="280">
          <cell r="A280">
            <v>68151</v>
          </cell>
          <cell r="B280" t="str">
            <v>FELLERMAN</v>
          </cell>
          <cell r="C280" t="str">
            <v>CHANNA</v>
          </cell>
          <cell r="D280">
            <v>37113</v>
          </cell>
          <cell r="E280">
            <v>13.062286105407255</v>
          </cell>
        </row>
        <row r="281">
          <cell r="A281">
            <v>199024</v>
          </cell>
          <cell r="B281" t="str">
            <v>OMAR</v>
          </cell>
          <cell r="C281" t="str">
            <v>SURAB</v>
          </cell>
          <cell r="D281">
            <v>37104</v>
          </cell>
          <cell r="E281">
            <v>13.086926762491444</v>
          </cell>
        </row>
        <row r="282">
          <cell r="A282">
            <v>170614</v>
          </cell>
          <cell r="B282" t="str">
            <v>LANGLEY</v>
          </cell>
          <cell r="C282" t="str">
            <v>FLORENCE</v>
          </cell>
          <cell r="D282">
            <v>37099</v>
          </cell>
          <cell r="E282">
            <v>13.100616016427105</v>
          </cell>
        </row>
        <row r="283">
          <cell r="A283">
            <v>80071</v>
          </cell>
          <cell r="B283" t="str">
            <v>NELSON</v>
          </cell>
          <cell r="C283" t="str">
            <v>XAIN-WAIIL</v>
          </cell>
          <cell r="D283">
            <v>37098</v>
          </cell>
          <cell r="E283">
            <v>13.103353867214237</v>
          </cell>
        </row>
        <row r="284">
          <cell r="A284">
            <v>92601</v>
          </cell>
          <cell r="B284" t="str">
            <v>BALOGUN</v>
          </cell>
          <cell r="C284" t="str">
            <v>JAMAL</v>
          </cell>
          <cell r="D284">
            <v>37096</v>
          </cell>
          <cell r="E284">
            <v>13.108829568788501</v>
          </cell>
        </row>
        <row r="285">
          <cell r="A285">
            <v>101638</v>
          </cell>
          <cell r="B285" t="str">
            <v>ERDWIN</v>
          </cell>
          <cell r="C285" t="str">
            <v>BILLY</v>
          </cell>
          <cell r="D285">
            <v>37092</v>
          </cell>
          <cell r="E285">
            <v>13.119780971937029</v>
          </cell>
        </row>
        <row r="286">
          <cell r="A286">
            <v>231428</v>
          </cell>
          <cell r="B286" t="str">
            <v xml:space="preserve">HASSAN </v>
          </cell>
          <cell r="C286" t="str">
            <v>SIVAN</v>
          </cell>
          <cell r="D286">
            <v>37080</v>
          </cell>
          <cell r="E286">
            <v>13.152635181382614</v>
          </cell>
        </row>
        <row r="287">
          <cell r="A287">
            <v>65817</v>
          </cell>
          <cell r="B287" t="str">
            <v>REES</v>
          </cell>
          <cell r="C287" t="str">
            <v>JAMIE</v>
          </cell>
          <cell r="D287">
            <v>37079</v>
          </cell>
          <cell r="E287">
            <v>13.155373032169747</v>
          </cell>
        </row>
        <row r="288">
          <cell r="A288">
            <v>125212</v>
          </cell>
          <cell r="B288" t="str">
            <v>O'DONOVAN</v>
          </cell>
          <cell r="C288" t="str">
            <v>SARAH</v>
          </cell>
          <cell r="D288">
            <v>37076</v>
          </cell>
          <cell r="E288">
            <v>13.163586584531142</v>
          </cell>
        </row>
        <row r="289">
          <cell r="A289">
            <v>80737</v>
          </cell>
          <cell r="B289" t="str">
            <v>SHAH</v>
          </cell>
          <cell r="C289" t="str">
            <v>RIA</v>
          </cell>
          <cell r="D289">
            <v>37073</v>
          </cell>
          <cell r="E289">
            <v>13.171800136892539</v>
          </cell>
        </row>
        <row r="290">
          <cell r="A290">
            <v>281381</v>
          </cell>
          <cell r="B290" t="str">
            <v>TADESSE</v>
          </cell>
          <cell r="C290" t="str">
            <v>NATHAN</v>
          </cell>
          <cell r="D290">
            <v>37061</v>
          </cell>
          <cell r="E290">
            <v>13.204654346338124</v>
          </cell>
        </row>
        <row r="291">
          <cell r="A291">
            <v>48656</v>
          </cell>
          <cell r="B291" t="str">
            <v>SANDOR</v>
          </cell>
          <cell r="C291" t="str">
            <v>OSCAR</v>
          </cell>
          <cell r="D291">
            <v>37052</v>
          </cell>
          <cell r="E291">
            <v>13.229295003422314</v>
          </cell>
        </row>
        <row r="292">
          <cell r="A292">
            <v>212872</v>
          </cell>
          <cell r="B292" t="str">
            <v>PARTOUCHE</v>
          </cell>
          <cell r="C292" t="str">
            <v>SHEINA</v>
          </cell>
          <cell r="D292">
            <v>37034</v>
          </cell>
          <cell r="E292">
            <v>13.278576317590691</v>
          </cell>
        </row>
        <row r="293">
          <cell r="A293">
            <v>69965</v>
          </cell>
          <cell r="B293" t="str">
            <v>MCDONAGH</v>
          </cell>
          <cell r="C293" t="str">
            <v>SCARLETT</v>
          </cell>
          <cell r="D293">
            <v>37033</v>
          </cell>
          <cell r="E293">
            <v>13.281314168377824</v>
          </cell>
        </row>
        <row r="294">
          <cell r="A294">
            <v>68124</v>
          </cell>
          <cell r="B294" t="str">
            <v>ORMSTON</v>
          </cell>
          <cell r="C294" t="str">
            <v>CHLOE</v>
          </cell>
          <cell r="D294">
            <v>37013</v>
          </cell>
          <cell r="E294">
            <v>13.336071184120465</v>
          </cell>
        </row>
        <row r="295">
          <cell r="A295">
            <v>63835</v>
          </cell>
          <cell r="B295" t="str">
            <v>SHEW</v>
          </cell>
          <cell r="C295" t="str">
            <v>JAKE</v>
          </cell>
          <cell r="D295">
            <v>37007</v>
          </cell>
          <cell r="E295">
            <v>13.352498288843258</v>
          </cell>
        </row>
        <row r="296">
          <cell r="A296">
            <v>80228</v>
          </cell>
          <cell r="B296" t="str">
            <v>OSHER</v>
          </cell>
          <cell r="C296" t="str">
            <v>DYLAN</v>
          </cell>
          <cell r="D296">
            <v>36998</v>
          </cell>
          <cell r="E296">
            <v>13.377138945927447</v>
          </cell>
        </row>
        <row r="297">
          <cell r="A297">
            <v>79207</v>
          </cell>
          <cell r="B297" t="str">
            <v>VEL</v>
          </cell>
          <cell r="C297" t="str">
            <v>ROBERT</v>
          </cell>
          <cell r="D297">
            <v>36993</v>
          </cell>
          <cell r="E297">
            <v>13.390828199863108</v>
          </cell>
        </row>
        <row r="298">
          <cell r="A298">
            <v>80775</v>
          </cell>
          <cell r="B298" t="str">
            <v xml:space="preserve">EVANS </v>
          </cell>
          <cell r="C298" t="str">
            <v>JACK</v>
          </cell>
          <cell r="D298">
            <v>36980</v>
          </cell>
          <cell r="E298">
            <v>13.426420260095824</v>
          </cell>
        </row>
        <row r="299">
          <cell r="A299">
            <v>49527</v>
          </cell>
          <cell r="B299" t="str">
            <v>MYERS</v>
          </cell>
          <cell r="C299" t="str">
            <v>CHRISTIAN</v>
          </cell>
          <cell r="D299">
            <v>36974</v>
          </cell>
          <cell r="E299">
            <v>13.442847364818617</v>
          </cell>
        </row>
        <row r="300">
          <cell r="A300">
            <v>64431</v>
          </cell>
          <cell r="B300" t="str">
            <v>KHORAM</v>
          </cell>
          <cell r="C300" t="str">
            <v>SAMI</v>
          </cell>
          <cell r="D300">
            <v>36974</v>
          </cell>
          <cell r="E300">
            <v>13.442847364818617</v>
          </cell>
        </row>
        <row r="301">
          <cell r="A301">
            <v>92825</v>
          </cell>
          <cell r="B301" t="str">
            <v>EFEY</v>
          </cell>
          <cell r="C301" t="str">
            <v>CHRISTOPHER</v>
          </cell>
          <cell r="D301">
            <v>36958</v>
          </cell>
          <cell r="E301">
            <v>13.486652977412732</v>
          </cell>
        </row>
        <row r="302">
          <cell r="A302">
            <v>49200</v>
          </cell>
          <cell r="B302" t="str">
            <v>MALIQI</v>
          </cell>
          <cell r="C302" t="str">
            <v>KREMTIM</v>
          </cell>
          <cell r="D302">
            <v>36954</v>
          </cell>
          <cell r="E302">
            <v>13.49760438056126</v>
          </cell>
        </row>
        <row r="303">
          <cell r="A303">
            <v>91486</v>
          </cell>
          <cell r="B303" t="str">
            <v>DONOVAN</v>
          </cell>
          <cell r="C303" t="str">
            <v>DANIEL</v>
          </cell>
          <cell r="D303">
            <v>36951</v>
          </cell>
          <cell r="E303">
            <v>13.505817932922655</v>
          </cell>
        </row>
        <row r="304">
          <cell r="A304">
            <v>51375</v>
          </cell>
          <cell r="B304" t="str">
            <v>BOLLEY</v>
          </cell>
          <cell r="C304" t="str">
            <v>DARREN</v>
          </cell>
          <cell r="D304">
            <v>36944</v>
          </cell>
          <cell r="E304">
            <v>13.52498288843258</v>
          </cell>
        </row>
        <row r="305">
          <cell r="A305">
            <v>149420</v>
          </cell>
          <cell r="B305" t="str">
            <v>NEWBY</v>
          </cell>
          <cell r="C305" t="str">
            <v>NICOLE</v>
          </cell>
          <cell r="D305">
            <v>36933</v>
          </cell>
          <cell r="E305">
            <v>13.555099247091034</v>
          </cell>
        </row>
        <row r="306">
          <cell r="A306">
            <v>264505</v>
          </cell>
          <cell r="B306" t="str">
            <v>JOKAR</v>
          </cell>
          <cell r="C306" t="str">
            <v>ARIA</v>
          </cell>
          <cell r="D306">
            <v>36927</v>
          </cell>
          <cell r="E306">
            <v>13.571526351813826</v>
          </cell>
        </row>
        <row r="307">
          <cell r="A307">
            <v>79327</v>
          </cell>
          <cell r="B307" t="str">
            <v>BROWN</v>
          </cell>
          <cell r="C307" t="str">
            <v>REGAN</v>
          </cell>
          <cell r="D307">
            <v>36926</v>
          </cell>
          <cell r="E307">
            <v>13.574264202600958</v>
          </cell>
        </row>
        <row r="308">
          <cell r="A308">
            <v>170069</v>
          </cell>
          <cell r="B308" t="str">
            <v>ZUCKER</v>
          </cell>
          <cell r="C308" t="str">
            <v>MIRIAM</v>
          </cell>
          <cell r="D308">
            <v>36921</v>
          </cell>
          <cell r="E308">
            <v>13.587953456536619</v>
          </cell>
        </row>
        <row r="309">
          <cell r="A309">
            <v>65296</v>
          </cell>
          <cell r="B309" t="str">
            <v>BARR</v>
          </cell>
          <cell r="C309" t="str">
            <v>ABIGAIL</v>
          </cell>
          <cell r="D309">
            <v>36917</v>
          </cell>
          <cell r="E309">
            <v>13.598904859685147</v>
          </cell>
        </row>
        <row r="310">
          <cell r="A310">
            <v>65207</v>
          </cell>
          <cell r="B310" t="str">
            <v>DELL</v>
          </cell>
          <cell r="C310" t="str">
            <v>MIA</v>
          </cell>
          <cell r="D310">
            <v>36916</v>
          </cell>
          <cell r="E310">
            <v>13.60164271047228</v>
          </cell>
        </row>
        <row r="311">
          <cell r="A311">
            <v>27783</v>
          </cell>
          <cell r="B311" t="str">
            <v>MACCARTHY</v>
          </cell>
          <cell r="C311" t="str">
            <v>CHRISTY</v>
          </cell>
          <cell r="D311">
            <v>36915</v>
          </cell>
          <cell r="E311">
            <v>13.604380561259411</v>
          </cell>
        </row>
        <row r="312">
          <cell r="A312">
            <v>31857</v>
          </cell>
          <cell r="B312" t="str">
            <v>DADOUN</v>
          </cell>
          <cell r="C312" t="str">
            <v>GABRIEL</v>
          </cell>
          <cell r="D312">
            <v>36915</v>
          </cell>
          <cell r="E312">
            <v>13.604380561259411</v>
          </cell>
        </row>
        <row r="313">
          <cell r="A313">
            <v>70386</v>
          </cell>
          <cell r="B313" t="str">
            <v>FAYE</v>
          </cell>
          <cell r="C313" t="str">
            <v>DEAN</v>
          </cell>
          <cell r="D313">
            <v>36907</v>
          </cell>
          <cell r="E313">
            <v>13.626283367556468</v>
          </cell>
        </row>
        <row r="314">
          <cell r="A314">
            <v>79776</v>
          </cell>
          <cell r="B314" t="str">
            <v>REICH</v>
          </cell>
          <cell r="C314" t="str">
            <v>YESHAYE</v>
          </cell>
          <cell r="D314">
            <v>36893</v>
          </cell>
          <cell r="E314">
            <v>13.664613278576317</v>
          </cell>
        </row>
        <row r="315">
          <cell r="A315">
            <v>155668</v>
          </cell>
          <cell r="B315" t="str">
            <v>MATEWELE</v>
          </cell>
          <cell r="C315" t="str">
            <v>WILLIAM</v>
          </cell>
          <cell r="D315">
            <v>36888</v>
          </cell>
          <cell r="E315">
            <v>13.678302532511978</v>
          </cell>
        </row>
        <row r="316">
          <cell r="A316">
            <v>184187</v>
          </cell>
          <cell r="B316" t="str">
            <v>FAHIMI</v>
          </cell>
          <cell r="C316" t="str">
            <v>EDERS</v>
          </cell>
          <cell r="D316">
            <v>36877</v>
          </cell>
          <cell r="E316">
            <v>13.708418891170432</v>
          </cell>
        </row>
        <row r="317">
          <cell r="A317">
            <v>310344</v>
          </cell>
          <cell r="B317" t="str">
            <v>ISMAILI-IDRISSI</v>
          </cell>
          <cell r="C317" t="str">
            <v>JALILA</v>
          </cell>
          <cell r="D317">
            <v>36872</v>
          </cell>
          <cell r="E317">
            <v>13.722108145106091</v>
          </cell>
        </row>
        <row r="318">
          <cell r="A318">
            <v>41693</v>
          </cell>
          <cell r="B318" t="str">
            <v>THOMPSON-ESSIG</v>
          </cell>
          <cell r="C318" t="str">
            <v>KIRELL</v>
          </cell>
          <cell r="D318">
            <v>36867</v>
          </cell>
          <cell r="E318">
            <v>13.735797399041752</v>
          </cell>
        </row>
        <row r="319">
          <cell r="A319">
            <v>65604</v>
          </cell>
          <cell r="B319" t="str">
            <v>KNOWLES</v>
          </cell>
          <cell r="C319" t="str">
            <v>REECE</v>
          </cell>
          <cell r="D319">
            <v>36866</v>
          </cell>
          <cell r="E319">
            <v>13.738535249828884</v>
          </cell>
        </row>
        <row r="320">
          <cell r="A320">
            <v>65340</v>
          </cell>
          <cell r="B320" t="str">
            <v>KARIM</v>
          </cell>
          <cell r="C320" t="str">
            <v>HASSAN</v>
          </cell>
          <cell r="D320">
            <v>36854</v>
          </cell>
          <cell r="E320">
            <v>13.77138945927447</v>
          </cell>
        </row>
        <row r="321">
          <cell r="A321">
            <v>48840</v>
          </cell>
          <cell r="B321" t="str">
            <v>REILLY</v>
          </cell>
          <cell r="C321" t="str">
            <v>JODIE</v>
          </cell>
          <cell r="D321">
            <v>36853</v>
          </cell>
          <cell r="E321">
            <v>13.774127310061601</v>
          </cell>
        </row>
        <row r="322">
          <cell r="A322">
            <v>69300</v>
          </cell>
          <cell r="B322" t="str">
            <v>MORRIS</v>
          </cell>
          <cell r="C322" t="str">
            <v>CARLEY</v>
          </cell>
          <cell r="D322">
            <v>36851</v>
          </cell>
          <cell r="E322">
            <v>13.779603011635865</v>
          </cell>
        </row>
        <row r="323">
          <cell r="A323">
            <v>48432</v>
          </cell>
          <cell r="B323" t="str">
            <v>HARWOOD</v>
          </cell>
          <cell r="C323" t="str">
            <v>DYLAN</v>
          </cell>
          <cell r="D323">
            <v>36843</v>
          </cell>
          <cell r="E323">
            <v>13.801505817932922</v>
          </cell>
        </row>
        <row r="324">
          <cell r="A324">
            <v>172131</v>
          </cell>
          <cell r="B324" t="str">
            <v>MOSS</v>
          </cell>
          <cell r="C324" t="str">
            <v>MAX</v>
          </cell>
          <cell r="D324">
            <v>36839</v>
          </cell>
          <cell r="E324">
            <v>13.81245722108145</v>
          </cell>
        </row>
        <row r="325">
          <cell r="A325">
            <v>51211</v>
          </cell>
          <cell r="B325" t="str">
            <v>CHOI</v>
          </cell>
          <cell r="C325" t="str">
            <v>ADRIAN</v>
          </cell>
          <cell r="D325">
            <v>36835</v>
          </cell>
          <cell r="E325">
            <v>13.82340862422998</v>
          </cell>
        </row>
        <row r="326">
          <cell r="A326">
            <v>65096</v>
          </cell>
          <cell r="B326" t="str">
            <v>OBODE</v>
          </cell>
          <cell r="C326" t="str">
            <v>GODSPOWER</v>
          </cell>
          <cell r="D326">
            <v>36817</v>
          </cell>
          <cell r="E326">
            <v>13.872689938398358</v>
          </cell>
        </row>
        <row r="327">
          <cell r="A327">
            <v>65270</v>
          </cell>
          <cell r="B327" t="str">
            <v>EZEKIEL</v>
          </cell>
          <cell r="C327" t="str">
            <v>GAVRIEL</v>
          </cell>
          <cell r="D327">
            <v>36813</v>
          </cell>
          <cell r="E327">
            <v>13.883641341546886</v>
          </cell>
        </row>
        <row r="328">
          <cell r="A328">
            <v>175489</v>
          </cell>
          <cell r="B328" t="str">
            <v>KELLY</v>
          </cell>
          <cell r="C328" t="str">
            <v>ANDREW</v>
          </cell>
          <cell r="D328">
            <v>36805</v>
          </cell>
          <cell r="E328">
            <v>13.905544147843942</v>
          </cell>
        </row>
        <row r="329">
          <cell r="A329">
            <v>32549</v>
          </cell>
          <cell r="B329" t="str">
            <v>COHEN</v>
          </cell>
          <cell r="C329" t="str">
            <v>NAIM</v>
          </cell>
          <cell r="D329">
            <v>36799</v>
          </cell>
          <cell r="E329">
            <v>13.921971252566735</v>
          </cell>
        </row>
        <row r="330">
          <cell r="A330">
            <v>103688</v>
          </cell>
          <cell r="B330" t="str">
            <v>KAUFFMAN</v>
          </cell>
          <cell r="C330" t="str">
            <v>TALIA</v>
          </cell>
          <cell r="D330">
            <v>36798</v>
          </cell>
          <cell r="E330">
            <v>13.924709103353868</v>
          </cell>
        </row>
        <row r="331">
          <cell r="A331">
            <v>233707</v>
          </cell>
          <cell r="B331" t="str">
            <v>KHODAYEKI</v>
          </cell>
          <cell r="C331" t="str">
            <v>ANTHONY</v>
          </cell>
          <cell r="D331">
            <v>36796</v>
          </cell>
          <cell r="E331">
            <v>13.930184804928132</v>
          </cell>
        </row>
        <row r="332">
          <cell r="A332">
            <v>40837</v>
          </cell>
          <cell r="B332" t="str">
            <v>DOLAN</v>
          </cell>
          <cell r="C332" t="str">
            <v>TAMARA</v>
          </cell>
          <cell r="D332">
            <v>36789</v>
          </cell>
          <cell r="E332">
            <v>13.949349760438055</v>
          </cell>
        </row>
        <row r="333">
          <cell r="A333">
            <v>65072</v>
          </cell>
          <cell r="B333" t="str">
            <v>CONWAY</v>
          </cell>
          <cell r="C333" t="str">
            <v>DINA</v>
          </cell>
          <cell r="D333">
            <v>36768</v>
          </cell>
          <cell r="E333">
            <v>14.00684462696783</v>
          </cell>
        </row>
        <row r="334">
          <cell r="A334">
            <v>24341</v>
          </cell>
          <cell r="B334" t="str">
            <v>SILVER</v>
          </cell>
          <cell r="C334" t="str">
            <v>HARRY</v>
          </cell>
          <cell r="D334">
            <v>36737</v>
          </cell>
          <cell r="E334">
            <v>14.091718001368925</v>
          </cell>
        </row>
        <row r="335">
          <cell r="A335">
            <v>258273</v>
          </cell>
          <cell r="B335" t="str">
            <v>HOWE</v>
          </cell>
          <cell r="C335" t="str">
            <v>RAHEEM</v>
          </cell>
          <cell r="D335">
            <v>36728</v>
          </cell>
          <cell r="E335">
            <v>14.116358658453114</v>
          </cell>
        </row>
        <row r="336">
          <cell r="A336">
            <v>25327</v>
          </cell>
          <cell r="B336" t="str">
            <v>WOLFSON</v>
          </cell>
          <cell r="C336" t="str">
            <v>NAFTALI</v>
          </cell>
          <cell r="D336">
            <v>36722</v>
          </cell>
          <cell r="E336">
            <v>14.132785763175907</v>
          </cell>
        </row>
        <row r="337">
          <cell r="A337">
            <v>25327</v>
          </cell>
          <cell r="B337" t="str">
            <v>WOLFSON</v>
          </cell>
          <cell r="C337" t="str">
            <v>NAFTALI</v>
          </cell>
          <cell r="D337">
            <v>36722</v>
          </cell>
          <cell r="E337">
            <v>14.132785763175907</v>
          </cell>
        </row>
        <row r="338">
          <cell r="A338">
            <v>50017</v>
          </cell>
          <cell r="B338" t="str">
            <v>RAJA</v>
          </cell>
          <cell r="C338" t="str">
            <v>VISHNAVI</v>
          </cell>
          <cell r="D338">
            <v>36718</v>
          </cell>
          <cell r="E338">
            <v>14.143737166324435</v>
          </cell>
        </row>
        <row r="339">
          <cell r="A339">
            <v>36447</v>
          </cell>
          <cell r="B339" t="str">
            <v>HARVEY</v>
          </cell>
          <cell r="C339" t="str">
            <v>HARRISON</v>
          </cell>
          <cell r="D339">
            <v>36714</v>
          </cell>
          <cell r="E339">
            <v>14.154688569472963</v>
          </cell>
        </row>
        <row r="340">
          <cell r="A340">
            <v>65749</v>
          </cell>
          <cell r="B340" t="str">
            <v>HART</v>
          </cell>
          <cell r="C340" t="str">
            <v>AMY</v>
          </cell>
          <cell r="D340">
            <v>36712</v>
          </cell>
          <cell r="E340">
            <v>14.160164271047227</v>
          </cell>
        </row>
        <row r="341">
          <cell r="A341">
            <v>212984</v>
          </cell>
          <cell r="B341" t="str">
            <v>ANSELL</v>
          </cell>
          <cell r="C341" t="str">
            <v>SAMUEL</v>
          </cell>
          <cell r="D341">
            <v>36705</v>
          </cell>
          <cell r="E341">
            <v>14.179329226557153</v>
          </cell>
        </row>
        <row r="342">
          <cell r="A342">
            <v>72419</v>
          </cell>
          <cell r="B342" t="str">
            <v>HOLMES</v>
          </cell>
          <cell r="C342" t="str">
            <v>NED</v>
          </cell>
          <cell r="D342">
            <v>36694</v>
          </cell>
          <cell r="E342">
            <v>14.209445585215606</v>
          </cell>
        </row>
        <row r="343">
          <cell r="A343">
            <v>201687</v>
          </cell>
          <cell r="B343" t="str">
            <v>ROBERTS-MURPHY</v>
          </cell>
          <cell r="C343" t="str">
            <v>BILLY</v>
          </cell>
          <cell r="D343">
            <v>36694</v>
          </cell>
          <cell r="E343">
            <v>14.209445585215606</v>
          </cell>
        </row>
        <row r="344">
          <cell r="A344">
            <v>16125</v>
          </cell>
          <cell r="B344" t="str">
            <v>MARVEL</v>
          </cell>
          <cell r="C344" t="str">
            <v>MEGAN</v>
          </cell>
          <cell r="D344">
            <v>36685</v>
          </cell>
          <cell r="E344">
            <v>14.234086242299794</v>
          </cell>
        </row>
        <row r="345">
          <cell r="A345">
            <v>63943</v>
          </cell>
          <cell r="B345" t="str">
            <v>CONLIN</v>
          </cell>
          <cell r="C345" t="str">
            <v>MAX</v>
          </cell>
          <cell r="D345">
            <v>36683</v>
          </cell>
          <cell r="E345">
            <v>14.239561943874058</v>
          </cell>
        </row>
        <row r="346">
          <cell r="A346">
            <v>65338</v>
          </cell>
          <cell r="B346" t="str">
            <v>MIDGEN</v>
          </cell>
          <cell r="C346" t="str">
            <v>JAMIE</v>
          </cell>
          <cell r="D346">
            <v>36675</v>
          </cell>
          <cell r="E346">
            <v>14.261464750171116</v>
          </cell>
        </row>
        <row r="347">
          <cell r="A347">
            <v>65728</v>
          </cell>
          <cell r="B347" t="str">
            <v>BENTLEY</v>
          </cell>
          <cell r="C347" t="str">
            <v>JOSEPH</v>
          </cell>
          <cell r="D347">
            <v>36661</v>
          </cell>
          <cell r="E347">
            <v>14.299794661190965</v>
          </cell>
        </row>
        <row r="348">
          <cell r="A348">
            <v>285640</v>
          </cell>
          <cell r="B348" t="str">
            <v xml:space="preserve">EMAMI </v>
          </cell>
          <cell r="C348" t="str">
            <v>REZA</v>
          </cell>
          <cell r="D348">
            <v>36661</v>
          </cell>
          <cell r="E348">
            <v>14.299794661190965</v>
          </cell>
        </row>
        <row r="349">
          <cell r="A349">
            <v>65073</v>
          </cell>
          <cell r="B349" t="str">
            <v>LEVINE</v>
          </cell>
          <cell r="C349" t="str">
            <v>SAMUEL</v>
          </cell>
          <cell r="D349">
            <v>36658</v>
          </cell>
          <cell r="E349">
            <v>14.308008213552361</v>
          </cell>
        </row>
        <row r="350">
          <cell r="A350">
            <v>34183</v>
          </cell>
          <cell r="B350" t="str">
            <v>MCLEOD</v>
          </cell>
          <cell r="C350" t="str">
            <v>MACKAYLA</v>
          </cell>
          <cell r="D350">
            <v>36657</v>
          </cell>
          <cell r="E350">
            <v>14.310746064339494</v>
          </cell>
        </row>
        <row r="351">
          <cell r="A351">
            <v>151894</v>
          </cell>
          <cell r="B351" t="str">
            <v>BRONSON</v>
          </cell>
          <cell r="C351" t="str">
            <v>LEO</v>
          </cell>
          <cell r="D351">
            <v>36656</v>
          </cell>
          <cell r="E351">
            <v>14.313483915126625</v>
          </cell>
        </row>
        <row r="352">
          <cell r="A352">
            <v>163879</v>
          </cell>
          <cell r="B352" t="str">
            <v>BRONSON</v>
          </cell>
          <cell r="C352" t="str">
            <v>THEO</v>
          </cell>
          <cell r="D352">
            <v>36656</v>
          </cell>
          <cell r="E352">
            <v>14.313483915126625</v>
          </cell>
        </row>
        <row r="353">
          <cell r="A353">
            <v>170878</v>
          </cell>
          <cell r="B353" t="str">
            <v>BROWN</v>
          </cell>
          <cell r="C353" t="str">
            <v>HARRY</v>
          </cell>
          <cell r="D353">
            <v>36653</v>
          </cell>
          <cell r="E353">
            <v>14.321697467488022</v>
          </cell>
        </row>
        <row r="354">
          <cell r="A354">
            <v>64800</v>
          </cell>
          <cell r="B354" t="str">
            <v>HENNELL</v>
          </cell>
          <cell r="C354" t="str">
            <v>PETER</v>
          </cell>
          <cell r="D354">
            <v>36644</v>
          </cell>
          <cell r="E354">
            <v>14.346338124572211</v>
          </cell>
        </row>
        <row r="355">
          <cell r="A355">
            <v>202213</v>
          </cell>
          <cell r="B355" t="str">
            <v>FERNANDEZ</v>
          </cell>
          <cell r="C355" t="str">
            <v>VAN</v>
          </cell>
          <cell r="D355">
            <v>36643</v>
          </cell>
          <cell r="E355">
            <v>14.349075975359343</v>
          </cell>
        </row>
        <row r="356">
          <cell r="A356">
            <v>93225</v>
          </cell>
          <cell r="B356" t="str">
            <v>TIANO</v>
          </cell>
          <cell r="C356" t="str">
            <v>SIMEON</v>
          </cell>
          <cell r="D356">
            <v>36642</v>
          </cell>
          <cell r="E356">
            <v>14.351813826146476</v>
          </cell>
        </row>
        <row r="357">
          <cell r="A357">
            <v>64534</v>
          </cell>
          <cell r="B357" t="str">
            <v>BENAMMAR</v>
          </cell>
          <cell r="C357" t="str">
            <v>ADAM</v>
          </cell>
          <cell r="D357">
            <v>36629</v>
          </cell>
          <cell r="E357">
            <v>14.387405886379192</v>
          </cell>
        </row>
        <row r="358">
          <cell r="A358">
            <v>51216</v>
          </cell>
          <cell r="B358" t="str">
            <v>DHILLON</v>
          </cell>
          <cell r="C358" t="str">
            <v>LUCA</v>
          </cell>
          <cell r="D358">
            <v>36623</v>
          </cell>
          <cell r="E358">
            <v>14.403832991101986</v>
          </cell>
        </row>
        <row r="359">
          <cell r="A359">
            <v>101722</v>
          </cell>
          <cell r="B359" t="str">
            <v>WILSON-WOOD</v>
          </cell>
          <cell r="C359" t="str">
            <v>NICHOLAS</v>
          </cell>
          <cell r="D359">
            <v>36613</v>
          </cell>
          <cell r="E359">
            <v>14.431211498973306</v>
          </cell>
        </row>
        <row r="360">
          <cell r="A360">
            <v>65121</v>
          </cell>
          <cell r="B360" t="str">
            <v>COGGIN</v>
          </cell>
          <cell r="C360" t="str">
            <v>THOMAS</v>
          </cell>
          <cell r="D360">
            <v>36599</v>
          </cell>
          <cell r="E360">
            <v>14.469541409993155</v>
          </cell>
        </row>
        <row r="361">
          <cell r="A361">
            <v>29360</v>
          </cell>
          <cell r="B361" t="str">
            <v>ANDERSON</v>
          </cell>
          <cell r="C361" t="str">
            <v>SHAUN</v>
          </cell>
          <cell r="D361">
            <v>36598</v>
          </cell>
          <cell r="E361">
            <v>14.472279260780287</v>
          </cell>
        </row>
        <row r="362">
          <cell r="A362">
            <v>71388</v>
          </cell>
          <cell r="B362" t="str">
            <v>DARZY</v>
          </cell>
          <cell r="C362" t="str">
            <v>MARK</v>
          </cell>
          <cell r="D362">
            <v>36592</v>
          </cell>
          <cell r="E362">
            <v>14.488706365503081</v>
          </cell>
        </row>
        <row r="363">
          <cell r="A363">
            <v>49295</v>
          </cell>
          <cell r="B363" t="str">
            <v>TANG-MARTIN</v>
          </cell>
          <cell r="C363" t="str">
            <v>CAROLINA</v>
          </cell>
          <cell r="D363">
            <v>36586</v>
          </cell>
          <cell r="E363">
            <v>14.505133470225873</v>
          </cell>
        </row>
        <row r="364">
          <cell r="A364">
            <v>59745</v>
          </cell>
          <cell r="B364" t="str">
            <v>SMYTH</v>
          </cell>
          <cell r="C364" t="str">
            <v>DAVID</v>
          </cell>
          <cell r="D364">
            <v>36575</v>
          </cell>
          <cell r="E364">
            <v>14.535249828884325</v>
          </cell>
        </row>
        <row r="365">
          <cell r="A365">
            <v>49289</v>
          </cell>
          <cell r="B365" t="str">
            <v>STINSON</v>
          </cell>
          <cell r="C365" t="str">
            <v>DAVID</v>
          </cell>
          <cell r="D365">
            <v>36570</v>
          </cell>
          <cell r="E365">
            <v>14.548939082819986</v>
          </cell>
        </row>
        <row r="366">
          <cell r="A366">
            <v>33564</v>
          </cell>
          <cell r="B366" t="str">
            <v>OYELADE</v>
          </cell>
          <cell r="C366" t="str">
            <v>DARIO</v>
          </cell>
          <cell r="D366">
            <v>36566</v>
          </cell>
          <cell r="E366">
            <v>14.559890485968515</v>
          </cell>
        </row>
        <row r="367">
          <cell r="A367">
            <v>14674</v>
          </cell>
          <cell r="B367" t="str">
            <v>DAVIS</v>
          </cell>
          <cell r="C367" t="str">
            <v>HARRY</v>
          </cell>
          <cell r="D367">
            <v>36565</v>
          </cell>
          <cell r="E367">
            <v>14.562628336755647</v>
          </cell>
        </row>
        <row r="368">
          <cell r="A368">
            <v>182809</v>
          </cell>
          <cell r="B368" t="str">
            <v>GORMAN</v>
          </cell>
          <cell r="C368" t="str">
            <v>BILLY</v>
          </cell>
          <cell r="D368">
            <v>36562</v>
          </cell>
          <cell r="E368">
            <v>14.570841889117043</v>
          </cell>
        </row>
        <row r="369">
          <cell r="A369">
            <v>37772</v>
          </cell>
          <cell r="B369" t="str">
            <v>NEALL</v>
          </cell>
          <cell r="C369" t="str">
            <v>MATTHEW</v>
          </cell>
          <cell r="D369">
            <v>36555</v>
          </cell>
          <cell r="E369">
            <v>14.590006844626968</v>
          </cell>
        </row>
        <row r="370">
          <cell r="A370">
            <v>145144</v>
          </cell>
          <cell r="B370" t="str">
            <v>GUTMAN</v>
          </cell>
          <cell r="C370" t="str">
            <v>MAXWELL</v>
          </cell>
          <cell r="D370">
            <v>36552</v>
          </cell>
          <cell r="E370">
            <v>14.598220396988363</v>
          </cell>
        </row>
        <row r="371">
          <cell r="A371">
            <v>33525</v>
          </cell>
          <cell r="B371" t="str">
            <v>RAJKOTIA</v>
          </cell>
          <cell r="C371" t="str">
            <v>PRANAV</v>
          </cell>
          <cell r="D371">
            <v>36551</v>
          </cell>
          <cell r="E371">
            <v>14.600958247775496</v>
          </cell>
        </row>
        <row r="372">
          <cell r="A372">
            <v>64543</v>
          </cell>
          <cell r="B372" t="str">
            <v>HAUGH</v>
          </cell>
          <cell r="C372" t="str">
            <v>OLIVER</v>
          </cell>
          <cell r="D372">
            <v>36532</v>
          </cell>
          <cell r="E372">
            <v>14.652977412731007</v>
          </cell>
        </row>
        <row r="373">
          <cell r="A373">
            <v>67919</v>
          </cell>
          <cell r="B373" t="str">
            <v>SACK</v>
          </cell>
          <cell r="C373" t="str">
            <v>CHAIM</v>
          </cell>
          <cell r="D373">
            <v>36531</v>
          </cell>
          <cell r="E373">
            <v>14.655715263518138</v>
          </cell>
        </row>
        <row r="374">
          <cell r="A374">
            <v>169019</v>
          </cell>
          <cell r="B374" t="str">
            <v>GEE</v>
          </cell>
          <cell r="C374" t="str">
            <v>DYLON</v>
          </cell>
          <cell r="D374">
            <v>36522</v>
          </cell>
          <cell r="E374">
            <v>14.680355920602327</v>
          </cell>
        </row>
        <row r="375">
          <cell r="A375">
            <v>34502</v>
          </cell>
          <cell r="B375" t="str">
            <v>SPEARMAN</v>
          </cell>
          <cell r="C375" t="str">
            <v>MAIZIE</v>
          </cell>
          <cell r="D375">
            <v>36511</v>
          </cell>
          <cell r="E375">
            <v>14.710472279260781</v>
          </cell>
        </row>
        <row r="376">
          <cell r="A376">
            <v>32622</v>
          </cell>
          <cell r="B376" t="str">
            <v>KANAR</v>
          </cell>
          <cell r="C376" t="str">
            <v>SHNEUR</v>
          </cell>
          <cell r="D376">
            <v>36494</v>
          </cell>
          <cell r="E376">
            <v>14.757015742642025</v>
          </cell>
        </row>
        <row r="377">
          <cell r="A377">
            <v>203130</v>
          </cell>
          <cell r="B377" t="str">
            <v>WEAVER</v>
          </cell>
          <cell r="C377" t="str">
            <v>SASKIA</v>
          </cell>
          <cell r="D377">
            <v>36475</v>
          </cell>
          <cell r="E377">
            <v>14.809034907597535</v>
          </cell>
        </row>
        <row r="378">
          <cell r="A378">
            <v>17748</v>
          </cell>
          <cell r="B378" t="str">
            <v>BALL</v>
          </cell>
          <cell r="C378" t="str">
            <v>BRADLEY</v>
          </cell>
          <cell r="D378">
            <v>36473</v>
          </cell>
          <cell r="E378">
            <v>14.8145106091718</v>
          </cell>
        </row>
        <row r="379">
          <cell r="A379">
            <v>15179</v>
          </cell>
          <cell r="B379" t="str">
            <v>CHADWICK</v>
          </cell>
          <cell r="C379" t="str">
            <v>JAMES</v>
          </cell>
          <cell r="D379">
            <v>36471</v>
          </cell>
          <cell r="E379">
            <v>14.819986310746064</v>
          </cell>
        </row>
        <row r="380">
          <cell r="A380">
            <v>64544</v>
          </cell>
          <cell r="B380" t="str">
            <v>JABBARI</v>
          </cell>
          <cell r="C380" t="str">
            <v>ARRAN</v>
          </cell>
          <cell r="D380">
            <v>36468</v>
          </cell>
          <cell r="E380">
            <v>14.828199863107461</v>
          </cell>
        </row>
        <row r="381">
          <cell r="A381">
            <v>53482</v>
          </cell>
          <cell r="B381" t="str">
            <v>HERSI</v>
          </cell>
          <cell r="C381" t="str">
            <v>Kamal</v>
          </cell>
          <cell r="D381">
            <v>36455</v>
          </cell>
          <cell r="E381">
            <v>14.863791923340179</v>
          </cell>
        </row>
        <row r="382">
          <cell r="A382">
            <v>231491</v>
          </cell>
          <cell r="B382" t="str">
            <v>NASSER</v>
          </cell>
          <cell r="C382" t="str">
            <v>SAMA</v>
          </cell>
          <cell r="D382">
            <v>36452</v>
          </cell>
          <cell r="E382">
            <v>14.872005475701574</v>
          </cell>
        </row>
        <row r="383">
          <cell r="A383">
            <v>102550</v>
          </cell>
          <cell r="B383" t="str">
            <v>RAHEEM</v>
          </cell>
          <cell r="C383" t="str">
            <v>EPITHANY</v>
          </cell>
          <cell r="D383">
            <v>36446</v>
          </cell>
          <cell r="E383">
            <v>14.888432580424366</v>
          </cell>
        </row>
        <row r="384">
          <cell r="A384">
            <v>34181</v>
          </cell>
          <cell r="B384" t="str">
            <v>MANIR</v>
          </cell>
          <cell r="C384" t="str">
            <v>SARA</v>
          </cell>
          <cell r="D384">
            <v>36446</v>
          </cell>
          <cell r="E384">
            <v>14.888432580424366</v>
          </cell>
        </row>
        <row r="385">
          <cell r="A385">
            <v>143183</v>
          </cell>
          <cell r="B385" t="str">
            <v>COHEN</v>
          </cell>
          <cell r="C385" t="str">
            <v>ELI</v>
          </cell>
          <cell r="D385">
            <v>36444</v>
          </cell>
          <cell r="E385">
            <v>14.89390828199863</v>
          </cell>
        </row>
        <row r="386">
          <cell r="A386">
            <v>127482</v>
          </cell>
          <cell r="B386" t="str">
            <v>BONNER</v>
          </cell>
          <cell r="C386" t="str">
            <v>SARAH</v>
          </cell>
          <cell r="D386">
            <v>36443</v>
          </cell>
          <cell r="E386">
            <v>14.896646132785763</v>
          </cell>
        </row>
        <row r="387">
          <cell r="A387">
            <v>66057</v>
          </cell>
          <cell r="B387" t="str">
            <v>WALLMAN-DANIELS</v>
          </cell>
          <cell r="C387" t="str">
            <v>KIERAN</v>
          </cell>
          <cell r="D387">
            <v>36417</v>
          </cell>
          <cell r="E387">
            <v>14.967830253251197</v>
          </cell>
        </row>
        <row r="388">
          <cell r="A388">
            <v>200594</v>
          </cell>
          <cell r="B388" t="str">
            <v>DA LUZ SANTOS SILVA</v>
          </cell>
          <cell r="C388" t="str">
            <v>ANDRIEA</v>
          </cell>
          <cell r="D388">
            <v>36411</v>
          </cell>
          <cell r="E388">
            <v>14.984257357973991</v>
          </cell>
        </row>
        <row r="389">
          <cell r="A389">
            <v>33562</v>
          </cell>
          <cell r="B389" t="str">
            <v>GIBSON</v>
          </cell>
          <cell r="C389" t="str">
            <v>RACHEL</v>
          </cell>
          <cell r="D389">
            <v>36410</v>
          </cell>
          <cell r="E389">
            <v>14.986995208761122</v>
          </cell>
        </row>
        <row r="390">
          <cell r="A390">
            <v>51178</v>
          </cell>
          <cell r="B390" t="str">
            <v>CARPUS</v>
          </cell>
          <cell r="C390" t="str">
            <v>JAMIE</v>
          </cell>
          <cell r="D390">
            <v>36406</v>
          </cell>
          <cell r="E390">
            <v>14.997946611909651</v>
          </cell>
        </row>
        <row r="391">
          <cell r="A391">
            <v>126098</v>
          </cell>
          <cell r="B391" t="str">
            <v>ENYIAGU</v>
          </cell>
          <cell r="C391" t="str">
            <v>ROY</v>
          </cell>
          <cell r="D391">
            <v>36404</v>
          </cell>
          <cell r="E391">
            <v>15.003422313483915</v>
          </cell>
        </row>
        <row r="392">
          <cell r="A392">
            <v>49718</v>
          </cell>
          <cell r="B392" t="str">
            <v>GREENBAUM</v>
          </cell>
          <cell r="C392" t="str">
            <v>SOPHIE</v>
          </cell>
          <cell r="D392">
            <v>36393</v>
          </cell>
          <cell r="E392">
            <v>15.033538672142368</v>
          </cell>
        </row>
        <row r="393">
          <cell r="A393">
            <v>66059</v>
          </cell>
          <cell r="B393" t="str">
            <v>McMORROW-CAME</v>
          </cell>
          <cell r="C393" t="str">
            <v>KATIE</v>
          </cell>
          <cell r="D393">
            <v>36391</v>
          </cell>
          <cell r="E393">
            <v>15.039014373716633</v>
          </cell>
        </row>
        <row r="394">
          <cell r="A394">
            <v>8296</v>
          </cell>
          <cell r="B394" t="str">
            <v>NEWBY</v>
          </cell>
          <cell r="C394" t="str">
            <v>JEAN LUC</v>
          </cell>
          <cell r="D394">
            <v>36389</v>
          </cell>
          <cell r="E394">
            <v>15.044490075290897</v>
          </cell>
        </row>
        <row r="395">
          <cell r="A395">
            <v>81190</v>
          </cell>
          <cell r="B395" t="str">
            <v>HASSAN</v>
          </cell>
          <cell r="C395" t="str">
            <v>OSMAN</v>
          </cell>
          <cell r="D395">
            <v>36385</v>
          </cell>
          <cell r="E395">
            <v>15.055441478439425</v>
          </cell>
        </row>
        <row r="396">
          <cell r="A396">
            <v>34489</v>
          </cell>
          <cell r="B396" t="str">
            <v>BENSON</v>
          </cell>
          <cell r="C396" t="str">
            <v>KYLIE</v>
          </cell>
          <cell r="D396">
            <v>36380</v>
          </cell>
          <cell r="E396">
            <v>15.069130732375086</v>
          </cell>
        </row>
        <row r="397">
          <cell r="A397">
            <v>112518</v>
          </cell>
          <cell r="B397" t="str">
            <v>GOODMAN</v>
          </cell>
          <cell r="C397" t="str">
            <v>NICOLE</v>
          </cell>
          <cell r="D397">
            <v>36370</v>
          </cell>
          <cell r="E397">
            <v>15.096509240246407</v>
          </cell>
        </row>
        <row r="398">
          <cell r="A398">
            <v>32822</v>
          </cell>
          <cell r="B398" t="str">
            <v>SAMUELS</v>
          </cell>
          <cell r="C398" t="str">
            <v>CAROLINE</v>
          </cell>
          <cell r="D398">
            <v>36365</v>
          </cell>
          <cell r="E398">
            <v>15.110198494182066</v>
          </cell>
        </row>
        <row r="399">
          <cell r="A399">
            <v>64918</v>
          </cell>
          <cell r="B399" t="str">
            <v>MARLOWE</v>
          </cell>
          <cell r="C399" t="str">
            <v>NATASHA</v>
          </cell>
          <cell r="D399">
            <v>36356</v>
          </cell>
          <cell r="E399">
            <v>15.134839151266256</v>
          </cell>
        </row>
        <row r="400">
          <cell r="A400">
            <v>18944</v>
          </cell>
          <cell r="B400" t="str">
            <v>RAHIMIAN</v>
          </cell>
          <cell r="C400" t="str">
            <v>TARA</v>
          </cell>
          <cell r="D400">
            <v>36349</v>
          </cell>
          <cell r="E400">
            <v>15.154004106776181</v>
          </cell>
        </row>
        <row r="401">
          <cell r="A401">
            <v>124516</v>
          </cell>
          <cell r="B401" t="str">
            <v>GALLAGHER</v>
          </cell>
          <cell r="C401" t="str">
            <v>CONALL</v>
          </cell>
          <cell r="D401">
            <v>36343</v>
          </cell>
          <cell r="E401">
            <v>15.170431211498974</v>
          </cell>
        </row>
        <row r="402">
          <cell r="A402">
            <v>34663</v>
          </cell>
          <cell r="B402" t="str">
            <v>PHILLIPS</v>
          </cell>
          <cell r="C402" t="str">
            <v>ADAM</v>
          </cell>
          <cell r="D402">
            <v>36342</v>
          </cell>
          <cell r="E402">
            <v>15.173169062286105</v>
          </cell>
        </row>
        <row r="403">
          <cell r="A403">
            <v>66036</v>
          </cell>
          <cell r="B403" t="str">
            <v>SCRUTON</v>
          </cell>
          <cell r="C403" t="str">
            <v>ALEXANDER</v>
          </cell>
          <cell r="D403">
            <v>36341</v>
          </cell>
          <cell r="E403">
            <v>15.175906913073238</v>
          </cell>
        </row>
        <row r="404">
          <cell r="A404">
            <v>104029</v>
          </cell>
          <cell r="B404" t="str">
            <v>KATES</v>
          </cell>
          <cell r="C404" t="str">
            <v>JADE</v>
          </cell>
          <cell r="D404">
            <v>36341</v>
          </cell>
          <cell r="E404">
            <v>15.175906913073238</v>
          </cell>
        </row>
        <row r="405">
          <cell r="A405">
            <v>117700</v>
          </cell>
          <cell r="B405" t="str">
            <v>KRAFT</v>
          </cell>
          <cell r="C405" t="str">
            <v>OSCAR</v>
          </cell>
          <cell r="D405">
            <v>36336</v>
          </cell>
          <cell r="E405">
            <v>15.189596167008897</v>
          </cell>
        </row>
        <row r="406">
          <cell r="A406">
            <v>65225</v>
          </cell>
          <cell r="B406" t="str">
            <v>COBERMAN</v>
          </cell>
          <cell r="C406" t="str">
            <v>TALIA</v>
          </cell>
          <cell r="D406">
            <v>36336</v>
          </cell>
          <cell r="E406">
            <v>15.189596167008897</v>
          </cell>
        </row>
        <row r="407">
          <cell r="A407">
            <v>32768</v>
          </cell>
          <cell r="B407" t="str">
            <v>WEITZMAN</v>
          </cell>
          <cell r="C407" t="str">
            <v>JACK</v>
          </cell>
          <cell r="D407">
            <v>36328</v>
          </cell>
          <cell r="E407">
            <v>15.211498973305956</v>
          </cell>
        </row>
        <row r="408">
          <cell r="A408">
            <v>200463</v>
          </cell>
          <cell r="B408" t="str">
            <v>ROSS</v>
          </cell>
          <cell r="C408" t="str">
            <v>JOSHUA</v>
          </cell>
          <cell r="D408">
            <v>36325</v>
          </cell>
          <cell r="E408">
            <v>15.219712525667351</v>
          </cell>
        </row>
        <row r="409">
          <cell r="A409">
            <v>32663</v>
          </cell>
          <cell r="B409" t="str">
            <v>BRILL</v>
          </cell>
          <cell r="C409" t="str">
            <v>BENJAMIN</v>
          </cell>
          <cell r="D409">
            <v>36323</v>
          </cell>
          <cell r="E409">
            <v>15.225188227241615</v>
          </cell>
        </row>
        <row r="410">
          <cell r="A410">
            <v>34256</v>
          </cell>
          <cell r="B410" t="str">
            <v>RESTREPO</v>
          </cell>
          <cell r="C410" t="str">
            <v>CARLOS</v>
          </cell>
          <cell r="D410">
            <v>36316</v>
          </cell>
          <cell r="E410">
            <v>15.24435318275154</v>
          </cell>
        </row>
        <row r="411">
          <cell r="A411">
            <v>32929</v>
          </cell>
          <cell r="B411" t="str">
            <v xml:space="preserve">McKENZI-CARDY </v>
          </cell>
          <cell r="C411" t="str">
            <v>JOSHUA</v>
          </cell>
          <cell r="D411">
            <v>36316</v>
          </cell>
          <cell r="E411">
            <v>15.24435318275154</v>
          </cell>
        </row>
        <row r="412">
          <cell r="A412">
            <v>65081</v>
          </cell>
          <cell r="B412" t="str">
            <v>SLOTNICK</v>
          </cell>
          <cell r="C412" t="str">
            <v>EDEN SAM</v>
          </cell>
          <cell r="D412">
            <v>36315</v>
          </cell>
          <cell r="E412">
            <v>15.247091033538672</v>
          </cell>
        </row>
        <row r="413">
          <cell r="A413"/>
          <cell r="B413" t="str">
            <v>Peradilla</v>
          </cell>
          <cell r="C413" t="str">
            <v>Collette</v>
          </cell>
          <cell r="D413">
            <v>36304</v>
          </cell>
          <cell r="E413">
            <v>15.277207392197125</v>
          </cell>
        </row>
        <row r="414">
          <cell r="A414">
            <v>33139</v>
          </cell>
          <cell r="B414" t="str">
            <v>SCHREIBER</v>
          </cell>
          <cell r="C414" t="str">
            <v>YAEL</v>
          </cell>
          <cell r="D414">
            <v>36303</v>
          </cell>
          <cell r="E414">
            <v>15.279945242984258</v>
          </cell>
        </row>
        <row r="415">
          <cell r="A415">
            <v>49921</v>
          </cell>
          <cell r="B415" t="str">
            <v>MURPHY</v>
          </cell>
          <cell r="C415" t="str">
            <v>CURTIS</v>
          </cell>
          <cell r="D415">
            <v>36299</v>
          </cell>
          <cell r="E415">
            <v>15.290896646132786</v>
          </cell>
        </row>
        <row r="416">
          <cell r="A416">
            <v>65770</v>
          </cell>
          <cell r="B416" t="str">
            <v>REBACK</v>
          </cell>
          <cell r="C416" t="str">
            <v>ZACHARY</v>
          </cell>
          <cell r="D416">
            <v>36292</v>
          </cell>
          <cell r="E416">
            <v>15.31006160164271</v>
          </cell>
        </row>
        <row r="417">
          <cell r="A417">
            <v>22986</v>
          </cell>
          <cell r="B417" t="str">
            <v>MIAH</v>
          </cell>
          <cell r="C417" t="str">
            <v>YASEEN</v>
          </cell>
          <cell r="D417">
            <v>36291</v>
          </cell>
          <cell r="E417">
            <v>15.312799452429843</v>
          </cell>
        </row>
        <row r="418">
          <cell r="A418">
            <v>69488</v>
          </cell>
          <cell r="B418" t="str">
            <v>OSTROFF</v>
          </cell>
          <cell r="C418" t="str">
            <v>DAVID</v>
          </cell>
          <cell r="D418">
            <v>36291</v>
          </cell>
          <cell r="E418">
            <v>15.312799452429843</v>
          </cell>
        </row>
        <row r="419">
          <cell r="A419">
            <v>48529</v>
          </cell>
          <cell r="B419" t="str">
            <v>HANASSAB</v>
          </cell>
          <cell r="C419" t="str">
            <v>GABRIEL</v>
          </cell>
          <cell r="D419">
            <v>36288</v>
          </cell>
          <cell r="E419">
            <v>15.321013004791238</v>
          </cell>
        </row>
        <row r="420">
          <cell r="A420">
            <v>34084</v>
          </cell>
          <cell r="B420" t="str">
            <v>BURTON</v>
          </cell>
          <cell r="C420" t="str">
            <v>MASON</v>
          </cell>
          <cell r="D420">
            <v>36281</v>
          </cell>
          <cell r="E420">
            <v>15.340177960301164</v>
          </cell>
        </row>
        <row r="421">
          <cell r="A421">
            <v>26155</v>
          </cell>
          <cell r="B421" t="str">
            <v>ELAABER</v>
          </cell>
          <cell r="C421" t="str">
            <v>HUSSAIN</v>
          </cell>
          <cell r="D421">
            <v>36276</v>
          </cell>
          <cell r="E421">
            <v>15.353867214236825</v>
          </cell>
        </row>
        <row r="422">
          <cell r="A422">
            <v>138901</v>
          </cell>
          <cell r="B422" t="str">
            <v>POZZI</v>
          </cell>
          <cell r="C422" t="str">
            <v>Antonio</v>
          </cell>
          <cell r="D422">
            <v>36275</v>
          </cell>
          <cell r="E422">
            <v>15.356605065023956</v>
          </cell>
        </row>
        <row r="423">
          <cell r="A423">
            <v>34271</v>
          </cell>
          <cell r="B423" t="str">
            <v>CROSBY</v>
          </cell>
          <cell r="C423" t="str">
            <v>CHARLIE</v>
          </cell>
          <cell r="D423">
            <v>36275</v>
          </cell>
          <cell r="E423">
            <v>15.356605065023956</v>
          </cell>
        </row>
        <row r="424">
          <cell r="A424">
            <v>28491</v>
          </cell>
          <cell r="B424" t="str">
            <v>ABBOTT</v>
          </cell>
          <cell r="C424" t="str">
            <v>BETHANY</v>
          </cell>
          <cell r="D424">
            <v>36271</v>
          </cell>
          <cell r="E424">
            <v>15.367556468172484</v>
          </cell>
        </row>
        <row r="425">
          <cell r="A425">
            <v>267697</v>
          </cell>
          <cell r="B425" t="str">
            <v>BRENNAN</v>
          </cell>
          <cell r="C425" t="str">
            <v>RONAN</v>
          </cell>
          <cell r="D425">
            <v>36269</v>
          </cell>
          <cell r="E425">
            <v>15.373032169746748</v>
          </cell>
        </row>
        <row r="426">
          <cell r="A426">
            <v>34953</v>
          </cell>
          <cell r="B426" t="str">
            <v>O'SULLIVAN</v>
          </cell>
          <cell r="C426" t="str">
            <v>SOPHIE</v>
          </cell>
          <cell r="D426">
            <v>36268</v>
          </cell>
          <cell r="E426">
            <v>15.375770020533881</v>
          </cell>
        </row>
        <row r="427">
          <cell r="A427">
            <v>19869</v>
          </cell>
          <cell r="B427" t="str">
            <v>SUMARIA</v>
          </cell>
          <cell r="C427" t="str">
            <v>SONAL</v>
          </cell>
          <cell r="D427">
            <v>36262</v>
          </cell>
          <cell r="E427">
            <v>15.392197125256674</v>
          </cell>
        </row>
        <row r="428">
          <cell r="A428">
            <v>64926</v>
          </cell>
          <cell r="B428" t="str">
            <v>LEUNG</v>
          </cell>
          <cell r="C428" t="str">
            <v>MARIA</v>
          </cell>
          <cell r="D428">
            <v>36261</v>
          </cell>
          <cell r="E428">
            <v>15.394934976043805</v>
          </cell>
        </row>
        <row r="429">
          <cell r="A429">
            <v>101463</v>
          </cell>
          <cell r="B429" t="str">
            <v>WETTON</v>
          </cell>
          <cell r="C429" t="str">
            <v>ALEXANDER</v>
          </cell>
          <cell r="D429">
            <v>36256</v>
          </cell>
          <cell r="E429">
            <v>15.408624229979466</v>
          </cell>
        </row>
        <row r="430">
          <cell r="A430">
            <v>87298</v>
          </cell>
          <cell r="B430" t="str">
            <v>WETTON</v>
          </cell>
          <cell r="C430" t="str">
            <v>JAMES</v>
          </cell>
          <cell r="D430">
            <v>37174</v>
          </cell>
          <cell r="E430">
            <v>12.895277207392198</v>
          </cell>
        </row>
        <row r="431">
          <cell r="A431">
            <v>93155</v>
          </cell>
          <cell r="B431" t="str">
            <v>DOROW</v>
          </cell>
          <cell r="C431" t="str">
            <v>CLIVE</v>
          </cell>
          <cell r="D431">
            <v>36246</v>
          </cell>
          <cell r="E431">
            <v>15.436002737850787</v>
          </cell>
        </row>
        <row r="432">
          <cell r="A432">
            <v>201402</v>
          </cell>
          <cell r="B432" t="str">
            <v>CAVOLI</v>
          </cell>
          <cell r="C432" t="str">
            <v>NOLI</v>
          </cell>
          <cell r="D432">
            <v>36232</v>
          </cell>
          <cell r="E432">
            <v>15.474332648870636</v>
          </cell>
        </row>
        <row r="433">
          <cell r="A433">
            <v>201402</v>
          </cell>
          <cell r="B433" t="str">
            <v>MULLA</v>
          </cell>
          <cell r="C433" t="str">
            <v>NOLI</v>
          </cell>
          <cell r="D433">
            <v>36232</v>
          </cell>
          <cell r="E433">
            <v>15.474332648870636</v>
          </cell>
        </row>
        <row r="434">
          <cell r="A434">
            <v>66040</v>
          </cell>
          <cell r="B434" t="str">
            <v>HASSAN-MARSHALL</v>
          </cell>
          <cell r="C434" t="str">
            <v>KAYA</v>
          </cell>
          <cell r="D434">
            <v>36228</v>
          </cell>
          <cell r="E434">
            <v>15.485284052019164</v>
          </cell>
        </row>
        <row r="435">
          <cell r="A435">
            <v>65074</v>
          </cell>
          <cell r="B435" t="str">
            <v>HALPERN</v>
          </cell>
          <cell r="C435" t="str">
            <v>NATHAN</v>
          </cell>
          <cell r="D435">
            <v>36203</v>
          </cell>
          <cell r="E435">
            <v>15.553730321697467</v>
          </cell>
        </row>
        <row r="436">
          <cell r="A436">
            <v>35274</v>
          </cell>
          <cell r="B436" t="str">
            <v>OKAI</v>
          </cell>
          <cell r="C436" t="str">
            <v>ELEOJO</v>
          </cell>
          <cell r="D436">
            <v>36199</v>
          </cell>
          <cell r="E436">
            <v>15.564681724845997</v>
          </cell>
        </row>
        <row r="437">
          <cell r="A437">
            <v>19890</v>
          </cell>
          <cell r="B437" t="str">
            <v>WARD</v>
          </cell>
          <cell r="C437" t="str">
            <v>ROBERT</v>
          </cell>
          <cell r="D437">
            <v>36196</v>
          </cell>
          <cell r="E437">
            <v>15.572895277207392</v>
          </cell>
        </row>
        <row r="438">
          <cell r="A438">
            <v>232550</v>
          </cell>
          <cell r="B438" t="str">
            <v>INGRAM</v>
          </cell>
          <cell r="C438" t="str">
            <v>ADAM</v>
          </cell>
          <cell r="D438">
            <v>36184</v>
          </cell>
          <cell r="E438">
            <v>15.605749486652977</v>
          </cell>
        </row>
        <row r="439">
          <cell r="A439">
            <v>34476</v>
          </cell>
          <cell r="B439" t="str">
            <v>WEEKES</v>
          </cell>
          <cell r="C439" t="str">
            <v>SAMUEL</v>
          </cell>
          <cell r="D439">
            <v>36183</v>
          </cell>
          <cell r="E439">
            <v>15.60848733744011</v>
          </cell>
        </row>
        <row r="440">
          <cell r="A440">
            <v>65922</v>
          </cell>
          <cell r="B440" t="str">
            <v>MAGUIRE</v>
          </cell>
          <cell r="C440" t="str">
            <v>PATRICK</v>
          </cell>
          <cell r="D440">
            <v>36182</v>
          </cell>
          <cell r="E440">
            <v>15.611225188227241</v>
          </cell>
        </row>
        <row r="441">
          <cell r="A441">
            <v>80451</v>
          </cell>
          <cell r="B441" t="str">
            <v>CORCORAN</v>
          </cell>
          <cell r="C441" t="str">
            <v>WILLIAM</v>
          </cell>
          <cell r="D441">
            <v>36182</v>
          </cell>
          <cell r="E441">
            <v>15.611225188227241</v>
          </cell>
        </row>
        <row r="442">
          <cell r="A442">
            <v>21503</v>
          </cell>
          <cell r="B442" t="str">
            <v>CORCORAN</v>
          </cell>
          <cell r="C442" t="str">
            <v>PATRICK</v>
          </cell>
          <cell r="D442">
            <v>36182</v>
          </cell>
          <cell r="E442">
            <v>15.611225188227241</v>
          </cell>
        </row>
        <row r="443">
          <cell r="A443">
            <v>14791</v>
          </cell>
          <cell r="B443" t="str">
            <v>BASSETT</v>
          </cell>
          <cell r="C443" t="str">
            <v>JACK</v>
          </cell>
          <cell r="D443">
            <v>36182</v>
          </cell>
          <cell r="E443">
            <v>15.611225188227241</v>
          </cell>
        </row>
        <row r="444">
          <cell r="A444">
            <v>34365</v>
          </cell>
          <cell r="B444" t="str">
            <v>HAUGH</v>
          </cell>
          <cell r="C444" t="str">
            <v>NICHOLAS</v>
          </cell>
          <cell r="D444">
            <v>36161</v>
          </cell>
          <cell r="E444">
            <v>15.668720054757015</v>
          </cell>
        </row>
        <row r="445">
          <cell r="A445">
            <v>157214</v>
          </cell>
          <cell r="B445" t="str">
            <v>REMER</v>
          </cell>
          <cell r="C445" t="str">
            <v>YISROEL (SRULIK)</v>
          </cell>
          <cell r="D445">
            <v>36149</v>
          </cell>
          <cell r="E445">
            <v>15.7015742642026</v>
          </cell>
        </row>
        <row r="446">
          <cell r="A446">
            <v>34677</v>
          </cell>
          <cell r="B446" t="str">
            <v>ABDICHE</v>
          </cell>
          <cell r="C446" t="str">
            <v>FETHI</v>
          </cell>
          <cell r="D446">
            <v>36143</v>
          </cell>
          <cell r="E446">
            <v>15.718001368925394</v>
          </cell>
        </row>
        <row r="447">
          <cell r="A447">
            <v>34328</v>
          </cell>
          <cell r="B447" t="str">
            <v>McKENZI-CARDY</v>
          </cell>
          <cell r="C447" t="str">
            <v>STEVEN</v>
          </cell>
          <cell r="D447">
            <v>36110</v>
          </cell>
          <cell r="E447">
            <v>15.808350444900753</v>
          </cell>
        </row>
        <row r="448">
          <cell r="A448">
            <v>65259</v>
          </cell>
          <cell r="B448" t="str">
            <v>ANI</v>
          </cell>
          <cell r="C448" t="str">
            <v>NAOMI (UYI-MORINOLA)</v>
          </cell>
          <cell r="D448">
            <v>36106</v>
          </cell>
          <cell r="E448">
            <v>15.819301848049282</v>
          </cell>
        </row>
        <row r="449">
          <cell r="A449">
            <v>138855</v>
          </cell>
          <cell r="B449" t="str">
            <v>NUNES</v>
          </cell>
          <cell r="C449" t="str">
            <v>GLODI</v>
          </cell>
          <cell r="D449">
            <v>36100</v>
          </cell>
          <cell r="E449">
            <v>15.835728952772074</v>
          </cell>
        </row>
        <row r="450">
          <cell r="A450">
            <v>65321</v>
          </cell>
          <cell r="B450" t="str">
            <v>RAYMOND</v>
          </cell>
          <cell r="C450" t="str">
            <v>KYLE</v>
          </cell>
          <cell r="D450">
            <v>36100</v>
          </cell>
          <cell r="E450">
            <v>15.835728952772074</v>
          </cell>
        </row>
        <row r="451">
          <cell r="A451">
            <v>157044</v>
          </cell>
          <cell r="B451" t="str">
            <v>TOWNSEND</v>
          </cell>
          <cell r="C451" t="str">
            <v>TOBY</v>
          </cell>
          <cell r="D451">
            <v>36098</v>
          </cell>
          <cell r="E451">
            <v>15.841204654346338</v>
          </cell>
        </row>
        <row r="452">
          <cell r="A452">
            <v>157205</v>
          </cell>
          <cell r="B452" t="str">
            <v>TOWNSEND</v>
          </cell>
          <cell r="C452" t="str">
            <v>THOMAS</v>
          </cell>
          <cell r="D452">
            <v>36098</v>
          </cell>
          <cell r="E452">
            <v>15.841204654346338</v>
          </cell>
        </row>
        <row r="453">
          <cell r="A453">
            <v>31871</v>
          </cell>
          <cell r="B453" t="str">
            <v>ELF</v>
          </cell>
          <cell r="C453" t="str">
            <v>YAFFA</v>
          </cell>
          <cell r="D453">
            <v>36094</v>
          </cell>
          <cell r="E453">
            <v>15.852156057494867</v>
          </cell>
        </row>
        <row r="454">
          <cell r="A454">
            <v>51167</v>
          </cell>
          <cell r="B454" t="str">
            <v>EPSTEIN</v>
          </cell>
          <cell r="C454" t="str">
            <v>JAMES</v>
          </cell>
          <cell r="D454">
            <v>36081</v>
          </cell>
          <cell r="E454">
            <v>15.887748117727584</v>
          </cell>
        </row>
        <row r="455">
          <cell r="A455">
            <v>34299</v>
          </cell>
          <cell r="B455" t="str">
            <v>PEARCE</v>
          </cell>
          <cell r="C455" t="str">
            <v>BRADLEY</v>
          </cell>
          <cell r="D455">
            <v>36078</v>
          </cell>
          <cell r="E455">
            <v>15.89596167008898</v>
          </cell>
        </row>
        <row r="456">
          <cell r="A456">
            <v>195485</v>
          </cell>
          <cell r="B456" t="str">
            <v>ARTAN</v>
          </cell>
          <cell r="C456" t="str">
            <v>FUAD</v>
          </cell>
          <cell r="D456">
            <v>36066</v>
          </cell>
          <cell r="E456">
            <v>15.928815879534566</v>
          </cell>
        </row>
        <row r="457">
          <cell r="A457">
            <v>38882</v>
          </cell>
          <cell r="B457" t="str">
            <v>RICHMAN</v>
          </cell>
          <cell r="C457" t="str">
            <v>ELIYAHU</v>
          </cell>
          <cell r="D457">
            <v>36056</v>
          </cell>
          <cell r="E457">
            <v>15.956194387405887</v>
          </cell>
        </row>
        <row r="458">
          <cell r="A458">
            <v>18972</v>
          </cell>
          <cell r="B458" t="str">
            <v>UNLE</v>
          </cell>
          <cell r="C458" t="str">
            <v>SULE</v>
          </cell>
          <cell r="D458">
            <v>36049</v>
          </cell>
          <cell r="E458">
            <v>15.975359342915811</v>
          </cell>
        </row>
        <row r="459">
          <cell r="A459">
            <v>33554</v>
          </cell>
          <cell r="B459" t="str">
            <v>TAYLOR JUKES</v>
          </cell>
          <cell r="C459" t="str">
            <v>ELLI</v>
          </cell>
          <cell r="D459">
            <v>36041</v>
          </cell>
          <cell r="E459">
            <v>15.997262149212867</v>
          </cell>
        </row>
        <row r="460">
          <cell r="A460">
            <v>32709</v>
          </cell>
          <cell r="B460" t="str">
            <v>SCHRANK</v>
          </cell>
          <cell r="C460" t="str">
            <v>ARONI</v>
          </cell>
          <cell r="D460">
            <v>36040</v>
          </cell>
          <cell r="E460">
            <v>16</v>
          </cell>
        </row>
        <row r="461">
          <cell r="A461">
            <v>63872</v>
          </cell>
          <cell r="B461" t="str">
            <v>BELL</v>
          </cell>
          <cell r="C461" t="str">
            <v>ANTONY</v>
          </cell>
          <cell r="D461">
            <v>36037</v>
          </cell>
          <cell r="E461">
            <v>16.008213552361397</v>
          </cell>
        </row>
        <row r="462">
          <cell r="A462">
            <v>66219</v>
          </cell>
          <cell r="B462" t="str">
            <v>OLIVER</v>
          </cell>
          <cell r="C462" t="str">
            <v>FABIENNE</v>
          </cell>
          <cell r="D462">
            <v>36033</v>
          </cell>
          <cell r="E462">
            <v>16.019164955509925</v>
          </cell>
        </row>
        <row r="463">
          <cell r="A463">
            <v>34745</v>
          </cell>
          <cell r="B463" t="str">
            <v>WOODS</v>
          </cell>
          <cell r="C463" t="str">
            <v>MATTHEW</v>
          </cell>
          <cell r="D463">
            <v>36031</v>
          </cell>
          <cell r="E463">
            <v>16.024640657084188</v>
          </cell>
        </row>
        <row r="464">
          <cell r="A464">
            <v>274592</v>
          </cell>
          <cell r="B464" t="str">
            <v>SUDDABY</v>
          </cell>
          <cell r="C464" t="str">
            <v>GEORGINA</v>
          </cell>
          <cell r="D464">
            <v>36027</v>
          </cell>
          <cell r="E464">
            <v>16.035592060232716</v>
          </cell>
        </row>
        <row r="465">
          <cell r="A465">
            <v>130369</v>
          </cell>
          <cell r="B465" t="str">
            <v>YASSIN</v>
          </cell>
          <cell r="C465" t="str">
            <v>HUSSEIN</v>
          </cell>
          <cell r="D465">
            <v>36010</v>
          </cell>
          <cell r="E465">
            <v>16.082135523613964</v>
          </cell>
        </row>
        <row r="466">
          <cell r="A466">
            <v>20871</v>
          </cell>
          <cell r="B466" t="str">
            <v>MIRAJ</v>
          </cell>
          <cell r="C466" t="str">
            <v>ZAYD</v>
          </cell>
          <cell r="D466">
            <v>36005</v>
          </cell>
          <cell r="E466">
            <v>16.095824777549623</v>
          </cell>
        </row>
        <row r="467">
          <cell r="A467">
            <v>72401</v>
          </cell>
          <cell r="B467" t="str">
            <v>MURPHY</v>
          </cell>
          <cell r="C467" t="str">
            <v>SEAN</v>
          </cell>
          <cell r="D467">
            <v>36003</v>
          </cell>
          <cell r="E467">
            <v>16.101300479123889</v>
          </cell>
        </row>
        <row r="468">
          <cell r="A468">
            <v>29022</v>
          </cell>
          <cell r="B468" t="str">
            <v>CREER</v>
          </cell>
          <cell r="C468" t="str">
            <v>MADISON</v>
          </cell>
          <cell r="D468">
            <v>35991</v>
          </cell>
          <cell r="E468">
            <v>16.134154688569474</v>
          </cell>
        </row>
        <row r="469">
          <cell r="A469">
            <v>24482</v>
          </cell>
          <cell r="B469" t="str">
            <v>MENDES</v>
          </cell>
          <cell r="C469" t="str">
            <v>EDGAR</v>
          </cell>
          <cell r="D469">
            <v>35980</v>
          </cell>
          <cell r="E469">
            <v>16.164271047227928</v>
          </cell>
        </row>
        <row r="470">
          <cell r="A470">
            <v>30096</v>
          </cell>
          <cell r="B470" t="str">
            <v>HUGHES</v>
          </cell>
          <cell r="C470" t="str">
            <v>EMILY</v>
          </cell>
          <cell r="D470">
            <v>35979</v>
          </cell>
          <cell r="E470">
            <v>16.167008898015059</v>
          </cell>
        </row>
        <row r="471">
          <cell r="A471">
            <v>49916</v>
          </cell>
          <cell r="B471" t="str">
            <v>MOUSA-NEJAD</v>
          </cell>
          <cell r="C471" t="str">
            <v>DANYAL</v>
          </cell>
          <cell r="D471">
            <v>35977</v>
          </cell>
          <cell r="E471">
            <v>16.172484599589321</v>
          </cell>
        </row>
        <row r="472">
          <cell r="A472">
            <v>79560</v>
          </cell>
          <cell r="B472" t="str">
            <v>HOWARD</v>
          </cell>
          <cell r="C472" t="str">
            <v>SAFIA</v>
          </cell>
          <cell r="D472">
            <v>35974</v>
          </cell>
          <cell r="E472">
            <v>16.180698151950718</v>
          </cell>
        </row>
        <row r="473">
          <cell r="A473">
            <v>65148</v>
          </cell>
          <cell r="B473" t="str">
            <v>CHWEIDAN</v>
          </cell>
          <cell r="C473" t="str">
            <v>JOEL</v>
          </cell>
          <cell r="D473">
            <v>35969</v>
          </cell>
          <cell r="E473">
            <v>16.194387405886378</v>
          </cell>
        </row>
        <row r="474">
          <cell r="A474">
            <v>24310</v>
          </cell>
          <cell r="B474" t="str">
            <v>NORMAN</v>
          </cell>
          <cell r="C474" t="str">
            <v>RYAN</v>
          </cell>
          <cell r="D474">
            <v>35966</v>
          </cell>
          <cell r="E474">
            <v>16.202600958247775</v>
          </cell>
        </row>
        <row r="475">
          <cell r="A475">
            <v>265041</v>
          </cell>
          <cell r="B475" t="str">
            <v>CAINE</v>
          </cell>
          <cell r="C475" t="str">
            <v>KAIRO</v>
          </cell>
          <cell r="D475">
            <v>35959</v>
          </cell>
          <cell r="E475">
            <v>16.2217659137577</v>
          </cell>
        </row>
        <row r="476">
          <cell r="A476">
            <v>49269</v>
          </cell>
          <cell r="B476" t="str">
            <v>SALIM</v>
          </cell>
          <cell r="C476" t="str">
            <v>KADIJAH</v>
          </cell>
          <cell r="D476">
            <v>35958</v>
          </cell>
          <cell r="E476">
            <v>16.224503764544831</v>
          </cell>
        </row>
        <row r="477">
          <cell r="A477"/>
          <cell r="B477" t="str">
            <v>Teixeira</v>
          </cell>
          <cell r="C477" t="str">
            <v>Fabio</v>
          </cell>
          <cell r="D477">
            <v>35956</v>
          </cell>
          <cell r="E477">
            <v>16.229979466119097</v>
          </cell>
        </row>
        <row r="478">
          <cell r="A478">
            <v>172939</v>
          </cell>
          <cell r="B478" t="str">
            <v>TAMS-LOVELL</v>
          </cell>
          <cell r="C478" t="str">
            <v>JORDAN</v>
          </cell>
          <cell r="D478">
            <v>35946</v>
          </cell>
          <cell r="E478">
            <v>16.257357973990416</v>
          </cell>
        </row>
        <row r="479">
          <cell r="A479">
            <v>16609</v>
          </cell>
          <cell r="B479" t="str">
            <v>INCE</v>
          </cell>
          <cell r="C479" t="str">
            <v>REBECCA</v>
          </cell>
          <cell r="D479">
            <v>35942</v>
          </cell>
          <cell r="E479">
            <v>16.268309377138944</v>
          </cell>
        </row>
        <row r="480">
          <cell r="A480">
            <v>19674</v>
          </cell>
          <cell r="B480" t="str">
            <v>BOTTERY</v>
          </cell>
          <cell r="C480" t="str">
            <v>THOMAS</v>
          </cell>
          <cell r="D480">
            <v>35941</v>
          </cell>
          <cell r="E480">
            <v>16.271047227926079</v>
          </cell>
        </row>
        <row r="481">
          <cell r="A481">
            <v>264881</v>
          </cell>
          <cell r="B481" t="str">
            <v>GHADIRIAN</v>
          </cell>
          <cell r="C481" t="str">
            <v>AMIR</v>
          </cell>
          <cell r="D481">
            <v>35940</v>
          </cell>
          <cell r="E481">
            <v>16.27378507871321</v>
          </cell>
        </row>
        <row r="482">
          <cell r="A482">
            <v>29203</v>
          </cell>
          <cell r="B482" t="str">
            <v>AKWAEZE</v>
          </cell>
          <cell r="C482" t="str">
            <v>DAVID</v>
          </cell>
          <cell r="D482">
            <v>35935</v>
          </cell>
          <cell r="E482">
            <v>16.28747433264887</v>
          </cell>
        </row>
        <row r="483">
          <cell r="A483">
            <v>20360</v>
          </cell>
          <cell r="B483" t="str">
            <v>AKKOUCHE</v>
          </cell>
          <cell r="C483" t="str">
            <v>SAMMY</v>
          </cell>
          <cell r="D483">
            <v>35933</v>
          </cell>
          <cell r="E483">
            <v>16.292950034223136</v>
          </cell>
        </row>
        <row r="484">
          <cell r="A484">
            <v>21550</v>
          </cell>
          <cell r="B484" t="str">
            <v>KAO</v>
          </cell>
          <cell r="C484" t="str">
            <v>JADE</v>
          </cell>
          <cell r="D484">
            <v>35932</v>
          </cell>
          <cell r="E484">
            <v>16.295687885010267</v>
          </cell>
        </row>
        <row r="485">
          <cell r="A485">
            <v>66042</v>
          </cell>
          <cell r="B485" t="str">
            <v>GRIFFITH-POLLACK</v>
          </cell>
          <cell r="C485" t="str">
            <v>SHANE</v>
          </cell>
          <cell r="D485">
            <v>35928</v>
          </cell>
          <cell r="E485">
            <v>16.306639288158795</v>
          </cell>
        </row>
        <row r="486">
          <cell r="A486">
            <v>35773</v>
          </cell>
          <cell r="B486" t="str">
            <v>SHAMIA</v>
          </cell>
          <cell r="C486" t="str">
            <v>SAMMY</v>
          </cell>
          <cell r="D486">
            <v>35922</v>
          </cell>
          <cell r="E486">
            <v>16.323066392881589</v>
          </cell>
        </row>
        <row r="487">
          <cell r="A487">
            <v>199316</v>
          </cell>
          <cell r="B487" t="str">
            <v>MEHMET</v>
          </cell>
          <cell r="C487" t="str">
            <v>ERAL</v>
          </cell>
          <cell r="D487">
            <v>35922</v>
          </cell>
          <cell r="E487">
            <v>16.323066392881589</v>
          </cell>
        </row>
        <row r="488">
          <cell r="A488">
            <v>17215</v>
          </cell>
          <cell r="B488" t="str">
            <v>HARMAN</v>
          </cell>
          <cell r="C488" t="str">
            <v>MASON</v>
          </cell>
          <cell r="D488">
            <v>35915</v>
          </cell>
          <cell r="E488">
            <v>16.342231348391511</v>
          </cell>
        </row>
        <row r="489">
          <cell r="A489">
            <v>103582</v>
          </cell>
          <cell r="B489" t="str">
            <v>DEUTSCH</v>
          </cell>
          <cell r="C489" t="str">
            <v>YEHUDA</v>
          </cell>
          <cell r="D489">
            <v>35913</v>
          </cell>
          <cell r="E489">
            <v>16.347707049965777</v>
          </cell>
        </row>
        <row r="490">
          <cell r="A490">
            <v>22047</v>
          </cell>
          <cell r="B490" t="str">
            <v>GIOVANELLI</v>
          </cell>
          <cell r="C490" t="str">
            <v>AMELIA</v>
          </cell>
          <cell r="D490">
            <v>35911</v>
          </cell>
          <cell r="E490">
            <v>16.353182751540039</v>
          </cell>
        </row>
        <row r="491">
          <cell r="A491">
            <v>51189</v>
          </cell>
          <cell r="B491" t="str">
            <v xml:space="preserve">RAMAZANZADEH  </v>
          </cell>
          <cell r="C491" t="str">
            <v>SHIRIN</v>
          </cell>
          <cell r="D491">
            <v>35909</v>
          </cell>
          <cell r="E491">
            <v>16.358658453114305</v>
          </cell>
        </row>
        <row r="492">
          <cell r="A492">
            <v>29044</v>
          </cell>
          <cell r="B492" t="str">
            <v>GIBSON</v>
          </cell>
          <cell r="C492" t="str">
            <v>HARRIET</v>
          </cell>
          <cell r="D492">
            <v>35908</v>
          </cell>
          <cell r="E492">
            <v>16.361396303901437</v>
          </cell>
        </row>
        <row r="493">
          <cell r="A493">
            <v>65093</v>
          </cell>
          <cell r="B493" t="str">
            <v>ATTAN</v>
          </cell>
          <cell r="C493" t="str">
            <v>RAPHAEL</v>
          </cell>
          <cell r="D493">
            <v>35908</v>
          </cell>
          <cell r="E493">
            <v>16.361396303901437</v>
          </cell>
        </row>
        <row r="494">
          <cell r="A494">
            <v>134599</v>
          </cell>
          <cell r="B494" t="str">
            <v>BAXTER</v>
          </cell>
          <cell r="C494" t="str">
            <v>SAMUEL</v>
          </cell>
          <cell r="D494">
            <v>35905</v>
          </cell>
          <cell r="E494">
            <v>16.369609856262834</v>
          </cell>
        </row>
        <row r="495">
          <cell r="A495">
            <v>8294</v>
          </cell>
          <cell r="B495" t="str">
            <v>ELLIS</v>
          </cell>
          <cell r="C495" t="str">
            <v>SANJIF(SANJAY)</v>
          </cell>
          <cell r="D495">
            <v>35905</v>
          </cell>
          <cell r="E495">
            <v>16.369609856262834</v>
          </cell>
        </row>
        <row r="496">
          <cell r="A496">
            <v>65392</v>
          </cell>
          <cell r="B496" t="str">
            <v>GOLDSCHMIDT</v>
          </cell>
          <cell r="C496" t="str">
            <v>ELIEZER</v>
          </cell>
          <cell r="D496">
            <v>35903</v>
          </cell>
          <cell r="E496">
            <v>16.3750855578371</v>
          </cell>
        </row>
        <row r="497">
          <cell r="A497">
            <v>21525</v>
          </cell>
          <cell r="B497" t="str">
            <v>GARDNER</v>
          </cell>
          <cell r="C497" t="str">
            <v>BENJAMIN</v>
          </cell>
          <cell r="D497">
            <v>35900</v>
          </cell>
          <cell r="E497">
            <v>16.383299110198493</v>
          </cell>
        </row>
        <row r="498">
          <cell r="A498">
            <v>134485</v>
          </cell>
          <cell r="B498" t="str">
            <v>WESTBROEK</v>
          </cell>
          <cell r="C498" t="str">
            <v>LEON</v>
          </cell>
          <cell r="D498">
            <v>35895</v>
          </cell>
          <cell r="E498">
            <v>16.396988364134156</v>
          </cell>
        </row>
        <row r="499">
          <cell r="A499">
            <v>134485</v>
          </cell>
          <cell r="B499" t="str">
            <v>WESTBROEK</v>
          </cell>
          <cell r="C499" t="str">
            <v>LEONIE</v>
          </cell>
          <cell r="D499">
            <v>35895</v>
          </cell>
          <cell r="E499">
            <v>16.396988364134156</v>
          </cell>
        </row>
        <row r="500">
          <cell r="A500">
            <v>19544</v>
          </cell>
          <cell r="B500" t="str">
            <v>HULL</v>
          </cell>
          <cell r="C500" t="str">
            <v>JOSHUA</v>
          </cell>
          <cell r="D500">
            <v>35891</v>
          </cell>
          <cell r="E500">
            <v>16.407939767282684</v>
          </cell>
        </row>
        <row r="501">
          <cell r="A501">
            <v>111537</v>
          </cell>
          <cell r="B501" t="str">
            <v>SHERMAN</v>
          </cell>
          <cell r="C501" t="str">
            <v>AVISHAI</v>
          </cell>
          <cell r="D501">
            <v>35888</v>
          </cell>
          <cell r="E501">
            <v>16.416153319644078</v>
          </cell>
        </row>
        <row r="502">
          <cell r="A502">
            <v>18255</v>
          </cell>
          <cell r="B502" t="str">
            <v>SHAPIRO</v>
          </cell>
          <cell r="C502" t="str">
            <v>DANIEL</v>
          </cell>
          <cell r="D502">
            <v>35888</v>
          </cell>
          <cell r="E502">
            <v>16.416153319644078</v>
          </cell>
        </row>
        <row r="503">
          <cell r="A503">
            <v>22868</v>
          </cell>
          <cell r="B503" t="str">
            <v>EFEY</v>
          </cell>
          <cell r="C503" t="str">
            <v>RYAN</v>
          </cell>
          <cell r="D503">
            <v>35882</v>
          </cell>
          <cell r="E503">
            <v>16.432580424366872</v>
          </cell>
        </row>
        <row r="504">
          <cell r="A504">
            <v>17952</v>
          </cell>
          <cell r="B504" t="str">
            <v>OPOLO</v>
          </cell>
          <cell r="C504" t="str">
            <v>NICHOLAS</v>
          </cell>
          <cell r="D504">
            <v>35880</v>
          </cell>
          <cell r="E504">
            <v>16.438056125941138</v>
          </cell>
        </row>
        <row r="505">
          <cell r="A505">
            <v>37227</v>
          </cell>
          <cell r="B505" t="str">
            <v>SENEVIRATNE</v>
          </cell>
          <cell r="C505" t="str">
            <v>OLIVER</v>
          </cell>
          <cell r="D505">
            <v>35880</v>
          </cell>
          <cell r="E505">
            <v>16.438056125941138</v>
          </cell>
        </row>
        <row r="506">
          <cell r="A506">
            <v>200017</v>
          </cell>
          <cell r="B506" t="str">
            <v>CLAIR</v>
          </cell>
          <cell r="C506" t="str">
            <v>PELLE</v>
          </cell>
          <cell r="D506">
            <v>35877</v>
          </cell>
          <cell r="E506">
            <v>16.446269678302532</v>
          </cell>
        </row>
        <row r="507">
          <cell r="A507">
            <v>200530</v>
          </cell>
          <cell r="B507" t="str">
            <v>AL-ZUWAYDEE</v>
          </cell>
          <cell r="C507" t="str">
            <v>SARAH</v>
          </cell>
          <cell r="D507">
            <v>35871</v>
          </cell>
          <cell r="E507">
            <v>16.462696783025326</v>
          </cell>
        </row>
        <row r="508">
          <cell r="A508">
            <v>18889</v>
          </cell>
          <cell r="B508" t="str">
            <v>KNIGHT</v>
          </cell>
          <cell r="C508" t="str">
            <v>SHANNON</v>
          </cell>
          <cell r="D508">
            <v>35871</v>
          </cell>
          <cell r="E508">
            <v>16.462696783025326</v>
          </cell>
        </row>
        <row r="509">
          <cell r="A509">
            <v>148740</v>
          </cell>
          <cell r="B509" t="str">
            <v>MCKENDRY-BROWN</v>
          </cell>
          <cell r="C509" t="str">
            <v>CAMERON</v>
          </cell>
          <cell r="D509">
            <v>35870</v>
          </cell>
          <cell r="E509">
            <v>16.465434633812457</v>
          </cell>
        </row>
        <row r="510">
          <cell r="A510">
            <v>23352</v>
          </cell>
          <cell r="B510" t="str">
            <v>GARVEY</v>
          </cell>
          <cell r="C510" t="str">
            <v>HARRY</v>
          </cell>
          <cell r="D510">
            <v>35860</v>
          </cell>
          <cell r="E510">
            <v>16.492813141683779</v>
          </cell>
        </row>
        <row r="511">
          <cell r="A511">
            <v>8468</v>
          </cell>
          <cell r="B511" t="str">
            <v>WILSON</v>
          </cell>
          <cell r="C511" t="str">
            <v>NICHOLAS</v>
          </cell>
          <cell r="D511">
            <v>35852</v>
          </cell>
          <cell r="E511">
            <v>16.514715947980836</v>
          </cell>
        </row>
        <row r="512">
          <cell r="A512">
            <v>218015</v>
          </cell>
          <cell r="B512" t="str">
            <v>WILLIS</v>
          </cell>
          <cell r="C512" t="str">
            <v>KEVOY</v>
          </cell>
          <cell r="D512">
            <v>35849</v>
          </cell>
          <cell r="E512">
            <v>16.522929500342233</v>
          </cell>
        </row>
        <row r="513">
          <cell r="A513">
            <v>190710</v>
          </cell>
          <cell r="B513" t="str">
            <v>MORRIS</v>
          </cell>
          <cell r="C513" t="str">
            <v>SHLOMO-ZALMAN</v>
          </cell>
          <cell r="D513">
            <v>35846</v>
          </cell>
          <cell r="E513">
            <v>16.531143052703626</v>
          </cell>
        </row>
        <row r="514">
          <cell r="A514">
            <v>81333</v>
          </cell>
          <cell r="B514" t="str">
            <v>ROSS</v>
          </cell>
          <cell r="C514" t="str">
            <v>RONAK</v>
          </cell>
          <cell r="D514">
            <v>35839</v>
          </cell>
          <cell r="E514">
            <v>16.550308008213552</v>
          </cell>
        </row>
        <row r="515">
          <cell r="A515">
            <v>17315</v>
          </cell>
          <cell r="B515" t="str">
            <v>PACKENHAM-BEHAN</v>
          </cell>
          <cell r="C515" t="str">
            <v>IEUAN</v>
          </cell>
          <cell r="D515">
            <v>35826</v>
          </cell>
          <cell r="E515">
            <v>16.585900068446271</v>
          </cell>
        </row>
        <row r="516">
          <cell r="A516">
            <v>65220</v>
          </cell>
          <cell r="B516" t="str">
            <v>GERRARD</v>
          </cell>
          <cell r="C516" t="str">
            <v>FREDDIE</v>
          </cell>
          <cell r="D516">
            <v>35823</v>
          </cell>
          <cell r="E516">
            <v>16.594113620807665</v>
          </cell>
        </row>
        <row r="517">
          <cell r="A517">
            <v>30639</v>
          </cell>
          <cell r="B517" t="str">
            <v>COHEN</v>
          </cell>
          <cell r="C517" t="str">
            <v>MATTISYOHU</v>
          </cell>
          <cell r="D517">
            <v>35820</v>
          </cell>
          <cell r="E517">
            <v>16.602327173169062</v>
          </cell>
        </row>
        <row r="518">
          <cell r="A518">
            <v>64923</v>
          </cell>
          <cell r="B518" t="str">
            <v>CHILON</v>
          </cell>
          <cell r="C518" t="str">
            <v>MARTIN</v>
          </cell>
          <cell r="D518">
            <v>35818</v>
          </cell>
          <cell r="E518">
            <v>16.607802874743328</v>
          </cell>
        </row>
        <row r="519">
          <cell r="A519">
            <v>283562</v>
          </cell>
          <cell r="B519" t="str">
            <v>ELLIS</v>
          </cell>
          <cell r="C519" t="str">
            <v>DANIELLE</v>
          </cell>
          <cell r="D519">
            <v>35804</v>
          </cell>
          <cell r="E519">
            <v>16.646132785763175</v>
          </cell>
        </row>
        <row r="520">
          <cell r="A520">
            <v>69691</v>
          </cell>
          <cell r="B520" t="str">
            <v>COHEN</v>
          </cell>
          <cell r="C520" t="str">
            <v>JAMIE</v>
          </cell>
          <cell r="D520">
            <v>35804</v>
          </cell>
          <cell r="E520">
            <v>16.646132785763175</v>
          </cell>
        </row>
        <row r="521">
          <cell r="A521">
            <v>51246</v>
          </cell>
          <cell r="B521" t="str">
            <v>ZOLFAGHARI</v>
          </cell>
          <cell r="C521" t="str">
            <v>BABAK</v>
          </cell>
          <cell r="D521">
            <v>35793</v>
          </cell>
          <cell r="E521">
            <v>16.676249144421629</v>
          </cell>
        </row>
        <row r="522">
          <cell r="A522">
            <v>36527</v>
          </cell>
          <cell r="B522" t="str">
            <v>MOHAMMADI</v>
          </cell>
          <cell r="C522" t="str">
            <v>NIKOU</v>
          </cell>
          <cell r="D522">
            <v>35787</v>
          </cell>
          <cell r="E522">
            <v>16.692676249144423</v>
          </cell>
        </row>
        <row r="523">
          <cell r="A523">
            <v>163862</v>
          </cell>
          <cell r="B523" t="str">
            <v>LAKHANI</v>
          </cell>
          <cell r="C523" t="str">
            <v>ABHISHEK</v>
          </cell>
          <cell r="D523">
            <v>35778</v>
          </cell>
          <cell r="E523">
            <v>16.717316906228611</v>
          </cell>
        </row>
        <row r="524">
          <cell r="A524">
            <v>36619</v>
          </cell>
          <cell r="B524" t="str">
            <v>SMITH</v>
          </cell>
          <cell r="C524" t="str">
            <v>LUKE</v>
          </cell>
          <cell r="D524">
            <v>35777</v>
          </cell>
          <cell r="E524">
            <v>16.720054757015742</v>
          </cell>
        </row>
        <row r="525">
          <cell r="A525">
            <v>19538</v>
          </cell>
          <cell r="B525" t="str">
            <v>HABIB</v>
          </cell>
          <cell r="C525" t="str">
            <v>ISMAIL</v>
          </cell>
          <cell r="D525">
            <v>35762</v>
          </cell>
          <cell r="E525">
            <v>16.761122518822724</v>
          </cell>
        </row>
        <row r="526">
          <cell r="A526">
            <v>64883</v>
          </cell>
          <cell r="B526" t="str">
            <v xml:space="preserve">DEVALIA </v>
          </cell>
          <cell r="C526" t="str">
            <v>MEERA</v>
          </cell>
          <cell r="D526">
            <v>35757</v>
          </cell>
          <cell r="E526">
            <v>16.774811772758383</v>
          </cell>
        </row>
        <row r="527">
          <cell r="A527">
            <v>51199</v>
          </cell>
          <cell r="B527" t="str">
            <v>WINEMAN</v>
          </cell>
          <cell r="C527" t="str">
            <v>JOSHUA</v>
          </cell>
          <cell r="D527">
            <v>35754</v>
          </cell>
          <cell r="E527">
            <v>16.78302532511978</v>
          </cell>
        </row>
        <row r="528">
          <cell r="A528">
            <v>36497</v>
          </cell>
          <cell r="B528" t="str">
            <v>LAING</v>
          </cell>
          <cell r="C528" t="str">
            <v>CHELSEA</v>
          </cell>
          <cell r="D528">
            <v>35753</v>
          </cell>
          <cell r="E528">
            <v>16.785763175906911</v>
          </cell>
        </row>
        <row r="529">
          <cell r="A529">
            <v>33137</v>
          </cell>
          <cell r="B529" t="str">
            <v>RUTMAN</v>
          </cell>
          <cell r="C529" t="str">
            <v>SOSHA</v>
          </cell>
          <cell r="D529">
            <v>35750</v>
          </cell>
          <cell r="E529">
            <v>16.793976728268309</v>
          </cell>
        </row>
        <row r="530">
          <cell r="A530">
            <v>68694</v>
          </cell>
          <cell r="B530" t="str">
            <v>COOPER</v>
          </cell>
          <cell r="C530" t="str">
            <v>BRANDON</v>
          </cell>
          <cell r="D530">
            <v>35744</v>
          </cell>
          <cell r="E530">
            <v>16.810403832991103</v>
          </cell>
        </row>
        <row r="531">
          <cell r="A531">
            <v>48509</v>
          </cell>
          <cell r="B531" t="str">
            <v>FREUD</v>
          </cell>
          <cell r="C531" t="str">
            <v>JORDAN</v>
          </cell>
          <cell r="D531">
            <v>35742</v>
          </cell>
          <cell r="E531">
            <v>16.815879534565365</v>
          </cell>
        </row>
        <row r="532">
          <cell r="A532">
            <v>48500</v>
          </cell>
          <cell r="B532" t="str">
            <v>EDMONDSON</v>
          </cell>
          <cell r="C532" t="str">
            <v>MAY</v>
          </cell>
          <cell r="D532">
            <v>35741</v>
          </cell>
          <cell r="E532">
            <v>16.8186173853525</v>
          </cell>
        </row>
        <row r="533">
          <cell r="A533">
            <v>65362</v>
          </cell>
          <cell r="B533" t="str">
            <v>ELLIOTT</v>
          </cell>
          <cell r="C533" t="str">
            <v>CAMERON</v>
          </cell>
          <cell r="D533">
            <v>35738</v>
          </cell>
          <cell r="E533">
            <v>16.826830937713893</v>
          </cell>
        </row>
        <row r="534">
          <cell r="A534">
            <v>8000</v>
          </cell>
          <cell r="B534" t="str">
            <v>STACEY</v>
          </cell>
          <cell r="C534" t="str">
            <v>LEE</v>
          </cell>
          <cell r="D534">
            <v>35733</v>
          </cell>
          <cell r="E534">
            <v>16.840520191649556</v>
          </cell>
        </row>
        <row r="535">
          <cell r="A535">
            <v>275154</v>
          </cell>
          <cell r="B535" t="str">
            <v>YADGARI</v>
          </cell>
          <cell r="C535" t="str">
            <v>MAKEEZA</v>
          </cell>
          <cell r="D535">
            <v>35729</v>
          </cell>
          <cell r="E535">
            <v>16.851471594798085</v>
          </cell>
        </row>
        <row r="536">
          <cell r="A536">
            <v>72438</v>
          </cell>
          <cell r="B536" t="str">
            <v>THOMPSON-VIDAL</v>
          </cell>
          <cell r="C536" t="str">
            <v>JEMIMA</v>
          </cell>
          <cell r="D536">
            <v>35723</v>
          </cell>
          <cell r="E536">
            <v>16.867898699520875</v>
          </cell>
        </row>
        <row r="537">
          <cell r="A537">
            <v>24323</v>
          </cell>
          <cell r="B537" t="str">
            <v>REES</v>
          </cell>
          <cell r="C537" t="str">
            <v>CHRISTOPHER</v>
          </cell>
          <cell r="D537">
            <v>35720</v>
          </cell>
          <cell r="E537">
            <v>16.876112251882272</v>
          </cell>
        </row>
        <row r="538">
          <cell r="A538">
            <v>65016</v>
          </cell>
          <cell r="B538" t="str">
            <v>CYNAMON</v>
          </cell>
          <cell r="C538" t="str">
            <v>ELISSA</v>
          </cell>
          <cell r="D538">
            <v>35712</v>
          </cell>
          <cell r="E538">
            <v>16.898015058179329</v>
          </cell>
        </row>
        <row r="539">
          <cell r="A539">
            <v>20959</v>
          </cell>
          <cell r="B539" t="str">
            <v>SILIS</v>
          </cell>
          <cell r="C539" t="str">
            <v>ALEXANDER</v>
          </cell>
          <cell r="D539">
            <v>35701</v>
          </cell>
          <cell r="E539">
            <v>16.928131416837783</v>
          </cell>
        </row>
        <row r="540">
          <cell r="A540">
            <v>34813</v>
          </cell>
          <cell r="B540" t="str">
            <v>SILIS</v>
          </cell>
          <cell r="C540" t="str">
            <v>BENJAMIN</v>
          </cell>
          <cell r="D540">
            <v>35701</v>
          </cell>
          <cell r="E540">
            <v>16.928131416837783</v>
          </cell>
        </row>
        <row r="541">
          <cell r="A541">
            <v>51154</v>
          </cell>
          <cell r="B541" t="str">
            <v>BALOGUN</v>
          </cell>
          <cell r="C541" t="str">
            <v>OLUSEGUN</v>
          </cell>
          <cell r="D541">
            <v>35693</v>
          </cell>
          <cell r="E541">
            <v>16.950034223134839</v>
          </cell>
        </row>
        <row r="542">
          <cell r="A542">
            <v>274468</v>
          </cell>
          <cell r="B542" t="str">
            <v>KURD</v>
          </cell>
          <cell r="C542" t="str">
            <v>MAHNOOR</v>
          </cell>
          <cell r="D542">
            <v>35692</v>
          </cell>
          <cell r="E542">
            <v>16.95277207392197</v>
          </cell>
        </row>
        <row r="543">
          <cell r="A543">
            <v>30527</v>
          </cell>
          <cell r="B543" t="str">
            <v>RASHTI</v>
          </cell>
          <cell r="C543" t="str">
            <v>JONATHAN</v>
          </cell>
          <cell r="D543">
            <v>35691</v>
          </cell>
          <cell r="E543">
            <v>16.955509924709105</v>
          </cell>
        </row>
        <row r="544">
          <cell r="A544">
            <v>27808</v>
          </cell>
          <cell r="B544" t="str">
            <v>O'CONNELL</v>
          </cell>
          <cell r="C544" t="str">
            <v>JAMES</v>
          </cell>
          <cell r="D544">
            <v>35690</v>
          </cell>
          <cell r="E544">
            <v>16.958247775496236</v>
          </cell>
        </row>
        <row r="545">
          <cell r="A545">
            <v>19860</v>
          </cell>
          <cell r="B545" t="str">
            <v>SMITH</v>
          </cell>
          <cell r="C545" t="str">
            <v>EDWARD</v>
          </cell>
          <cell r="D545">
            <v>35685</v>
          </cell>
          <cell r="E545">
            <v>16.971937029431896</v>
          </cell>
        </row>
        <row r="546">
          <cell r="A546">
            <v>65395</v>
          </cell>
          <cell r="B546" t="str">
            <v>MACLEOD</v>
          </cell>
          <cell r="C546" t="str">
            <v>JOHN</v>
          </cell>
          <cell r="D546">
            <v>35684</v>
          </cell>
          <cell r="E546">
            <v>16.974674880219027</v>
          </cell>
        </row>
        <row r="547">
          <cell r="A547">
            <v>79238</v>
          </cell>
          <cell r="B547" t="str">
            <v>ALARAJI</v>
          </cell>
          <cell r="C547" t="str">
            <v>MOHAMMED</v>
          </cell>
          <cell r="D547">
            <v>35682</v>
          </cell>
          <cell r="E547">
            <v>16.980150581793293</v>
          </cell>
        </row>
        <row r="548">
          <cell r="A548">
            <v>286035</v>
          </cell>
          <cell r="B548" t="str">
            <v>GHERSON</v>
          </cell>
          <cell r="C548" t="str">
            <v>JACOB</v>
          </cell>
          <cell r="D548">
            <v>35678</v>
          </cell>
          <cell r="E548">
            <v>16.991101984941821</v>
          </cell>
        </row>
        <row r="549">
          <cell r="A549">
            <v>195681</v>
          </cell>
          <cell r="B549" t="str">
            <v>GHANI</v>
          </cell>
          <cell r="C549" t="str">
            <v>WALI</v>
          </cell>
          <cell r="D549">
            <v>35678</v>
          </cell>
          <cell r="E549">
            <v>16.991101984941821</v>
          </cell>
        </row>
        <row r="550">
          <cell r="A550">
            <v>24233</v>
          </cell>
          <cell r="B550" t="str">
            <v>KAYA</v>
          </cell>
          <cell r="C550" t="str">
            <v>TAMMY</v>
          </cell>
          <cell r="D550">
            <v>35676</v>
          </cell>
          <cell r="E550">
            <v>16.996577686516083</v>
          </cell>
        </row>
        <row r="551">
          <cell r="A551">
            <v>22439</v>
          </cell>
          <cell r="B551" t="str">
            <v>HALL</v>
          </cell>
          <cell r="C551" t="str">
            <v>DAHRIA</v>
          </cell>
          <cell r="D551">
            <v>35676</v>
          </cell>
          <cell r="E551">
            <v>16.996577686516083</v>
          </cell>
        </row>
        <row r="552">
          <cell r="A552">
            <v>30055</v>
          </cell>
          <cell r="B552" t="str">
            <v>FERNANDO</v>
          </cell>
          <cell r="C552" t="str">
            <v>ROSHAN</v>
          </cell>
          <cell r="D552">
            <v>35672</v>
          </cell>
          <cell r="E552">
            <v>17.007529089664612</v>
          </cell>
        </row>
        <row r="553">
          <cell r="A553">
            <v>269917</v>
          </cell>
          <cell r="B553" t="str">
            <v>RAMRECHA</v>
          </cell>
          <cell r="C553" t="str">
            <v>REEYANA</v>
          </cell>
          <cell r="D553">
            <v>35661</v>
          </cell>
          <cell r="E553">
            <v>17.037645448323065</v>
          </cell>
        </row>
        <row r="554">
          <cell r="A554">
            <v>149449</v>
          </cell>
          <cell r="B554" t="str">
            <v>MOSKOVITZ</v>
          </cell>
          <cell r="C554" t="str">
            <v>MAAYAN</v>
          </cell>
          <cell r="D554">
            <v>35660</v>
          </cell>
          <cell r="E554">
            <v>17.0403832991102</v>
          </cell>
        </row>
        <row r="555">
          <cell r="A555">
            <v>28283</v>
          </cell>
          <cell r="B555" t="str">
            <v>VOGT-VINCENT</v>
          </cell>
          <cell r="C555" t="str">
            <v>NOAM</v>
          </cell>
          <cell r="D555">
            <v>35658</v>
          </cell>
          <cell r="E555">
            <v>17.045859000684462</v>
          </cell>
        </row>
        <row r="556">
          <cell r="A556">
            <v>170014</v>
          </cell>
          <cell r="B556" t="str">
            <v>AKAGBOSU</v>
          </cell>
          <cell r="C556" t="str">
            <v>CHINONSO</v>
          </cell>
          <cell r="D556">
            <v>35651</v>
          </cell>
          <cell r="E556">
            <v>17.065023956194388</v>
          </cell>
        </row>
        <row r="557">
          <cell r="A557">
            <v>24437</v>
          </cell>
          <cell r="B557" t="str">
            <v>FREEMAN</v>
          </cell>
          <cell r="C557" t="str">
            <v>TIMOTHY</v>
          </cell>
          <cell r="D557">
            <v>35647</v>
          </cell>
          <cell r="E557">
            <v>17.075975359342916</v>
          </cell>
        </row>
        <row r="558">
          <cell r="A558">
            <v>49568</v>
          </cell>
          <cell r="B558" t="str">
            <v>REDMAN</v>
          </cell>
          <cell r="C558" t="str">
            <v>EDWARD</v>
          </cell>
          <cell r="D558">
            <v>35645</v>
          </cell>
          <cell r="E558">
            <v>17.081451060917178</v>
          </cell>
        </row>
        <row r="559">
          <cell r="A559">
            <v>201052</v>
          </cell>
          <cell r="B559" t="str">
            <v>SINGH</v>
          </cell>
          <cell r="C559" t="str">
            <v>GOVIND</v>
          </cell>
          <cell r="D559">
            <v>35632</v>
          </cell>
          <cell r="E559">
            <v>17.117043121149898</v>
          </cell>
        </row>
        <row r="560">
          <cell r="A560">
            <v>34790</v>
          </cell>
          <cell r="B560" t="str">
            <v>HUTCHINSON</v>
          </cell>
          <cell r="C560" t="str">
            <v>DARIUS</v>
          </cell>
          <cell r="D560">
            <v>35632</v>
          </cell>
          <cell r="E560">
            <v>17.117043121149898</v>
          </cell>
        </row>
        <row r="561">
          <cell r="A561">
            <v>247352</v>
          </cell>
          <cell r="B561" t="str">
            <v>LAWTON</v>
          </cell>
          <cell r="C561" t="str">
            <v>PERRY</v>
          </cell>
          <cell r="D561">
            <v>35632</v>
          </cell>
          <cell r="E561">
            <v>17.117043121149898</v>
          </cell>
        </row>
        <row r="562">
          <cell r="A562">
            <v>63876</v>
          </cell>
          <cell r="B562" t="str">
            <v>ESMAILI</v>
          </cell>
          <cell r="C562" t="str">
            <v>SINA</v>
          </cell>
          <cell r="D562">
            <v>35631</v>
          </cell>
          <cell r="E562">
            <v>17.119780971937029</v>
          </cell>
        </row>
        <row r="563">
          <cell r="A563">
            <v>72807</v>
          </cell>
          <cell r="B563" t="str">
            <v>GREENE</v>
          </cell>
          <cell r="C563" t="str">
            <v>JAMES</v>
          </cell>
          <cell r="D563">
            <v>35626</v>
          </cell>
          <cell r="E563">
            <v>17.133470225872689</v>
          </cell>
        </row>
        <row r="564">
          <cell r="A564">
            <v>19751</v>
          </cell>
          <cell r="B564" t="str">
            <v>HENSHAW</v>
          </cell>
          <cell r="C564" t="str">
            <v>RICHARD</v>
          </cell>
          <cell r="D564">
            <v>35607</v>
          </cell>
          <cell r="E564">
            <v>17.185489390828199</v>
          </cell>
        </row>
        <row r="565">
          <cell r="A565">
            <v>16151</v>
          </cell>
          <cell r="B565" t="str">
            <v>MORGAN WILLIAMS</v>
          </cell>
          <cell r="C565" t="str">
            <v>KAFELE</v>
          </cell>
          <cell r="D565">
            <v>35605</v>
          </cell>
          <cell r="E565">
            <v>17.190965092402465</v>
          </cell>
        </row>
        <row r="566">
          <cell r="A566">
            <v>23015</v>
          </cell>
          <cell r="B566" t="str">
            <v>OGBE</v>
          </cell>
          <cell r="C566" t="str">
            <v>CHANTE</v>
          </cell>
          <cell r="D566">
            <v>35602</v>
          </cell>
          <cell r="E566">
            <v>17.199178644763862</v>
          </cell>
        </row>
        <row r="567">
          <cell r="A567">
            <v>19703</v>
          </cell>
          <cell r="B567" t="str">
            <v>OAKLEY DARWIN</v>
          </cell>
          <cell r="C567" t="str">
            <v>MIRANDA</v>
          </cell>
          <cell r="D567">
            <v>35586</v>
          </cell>
          <cell r="E567">
            <v>17.242984257357975</v>
          </cell>
        </row>
        <row r="568">
          <cell r="A568">
            <v>35205</v>
          </cell>
          <cell r="B568" t="str">
            <v>ANVAR</v>
          </cell>
          <cell r="C568" t="str">
            <v>SHAI</v>
          </cell>
          <cell r="D568">
            <v>35582</v>
          </cell>
          <cell r="E568">
            <v>17.253935660506503</v>
          </cell>
        </row>
        <row r="569">
          <cell r="A569">
            <v>71250</v>
          </cell>
          <cell r="B569" t="str">
            <v>HONCA</v>
          </cell>
          <cell r="C569" t="str">
            <v>SERDAL</v>
          </cell>
          <cell r="D569">
            <v>35574</v>
          </cell>
          <cell r="E569">
            <v>17.27583846680356</v>
          </cell>
        </row>
        <row r="570">
          <cell r="A570">
            <v>22979</v>
          </cell>
          <cell r="B570" t="str">
            <v>MAYUBA</v>
          </cell>
          <cell r="C570" t="str">
            <v>RUSSELL</v>
          </cell>
          <cell r="D570">
            <v>35571</v>
          </cell>
          <cell r="E570">
            <v>17.284052019164957</v>
          </cell>
        </row>
        <row r="571">
          <cell r="A571">
            <v>18231</v>
          </cell>
          <cell r="B571" t="str">
            <v>PASH</v>
          </cell>
          <cell r="C571" t="str">
            <v>JAMIE</v>
          </cell>
          <cell r="D571">
            <v>35565</v>
          </cell>
          <cell r="E571">
            <v>17.300479123887747</v>
          </cell>
        </row>
        <row r="572">
          <cell r="A572">
            <v>30552</v>
          </cell>
          <cell r="B572" t="str">
            <v>SALTER</v>
          </cell>
          <cell r="C572" t="str">
            <v>DANIEL</v>
          </cell>
          <cell r="D572">
            <v>35558</v>
          </cell>
          <cell r="E572">
            <v>17.319644079397673</v>
          </cell>
        </row>
        <row r="573">
          <cell r="A573">
            <v>66212</v>
          </cell>
          <cell r="B573" t="str">
            <v>WARD</v>
          </cell>
          <cell r="C573" t="str">
            <v>NOAH</v>
          </cell>
          <cell r="D573">
            <v>35556</v>
          </cell>
          <cell r="E573">
            <v>17.325119780971939</v>
          </cell>
        </row>
        <row r="574">
          <cell r="A574">
            <v>48724</v>
          </cell>
          <cell r="B574" t="str">
            <v>DEFRIEND</v>
          </cell>
          <cell r="C574" t="str">
            <v>TONY</v>
          </cell>
          <cell r="D574">
            <v>35553</v>
          </cell>
          <cell r="E574">
            <v>17.333333333333332</v>
          </cell>
        </row>
        <row r="575">
          <cell r="A575">
            <v>51190</v>
          </cell>
          <cell r="B575" t="str">
            <v>ROBINSON</v>
          </cell>
          <cell r="C575" t="str">
            <v>THOMAS</v>
          </cell>
          <cell r="D575">
            <v>35542</v>
          </cell>
          <cell r="E575">
            <v>17.363449691991786</v>
          </cell>
        </row>
        <row r="576">
          <cell r="A576">
            <v>17323</v>
          </cell>
          <cell r="B576" t="str">
            <v>PUZEY</v>
          </cell>
          <cell r="C576" t="str">
            <v>CHLOE</v>
          </cell>
          <cell r="D576">
            <v>35528</v>
          </cell>
          <cell r="E576">
            <v>17.401779603011637</v>
          </cell>
        </row>
        <row r="577">
          <cell r="A577">
            <v>36742</v>
          </cell>
          <cell r="B577" t="str">
            <v>ILMISEN</v>
          </cell>
          <cell r="C577" t="str">
            <v>IBRAHIM</v>
          </cell>
          <cell r="D577">
            <v>35515</v>
          </cell>
          <cell r="E577">
            <v>17.437371663244353</v>
          </cell>
        </row>
        <row r="578">
          <cell r="A578">
            <v>49146</v>
          </cell>
          <cell r="B578" t="str">
            <v>HOOKER</v>
          </cell>
          <cell r="C578" t="str">
            <v>MICHAEL</v>
          </cell>
          <cell r="D578">
            <v>35501</v>
          </cell>
          <cell r="E578">
            <v>17.475701574264203</v>
          </cell>
        </row>
        <row r="579">
          <cell r="A579">
            <v>18388</v>
          </cell>
          <cell r="B579" t="str">
            <v>MASKELL</v>
          </cell>
          <cell r="C579" t="str">
            <v>SAM</v>
          </cell>
          <cell r="D579">
            <v>35486</v>
          </cell>
          <cell r="E579">
            <v>17.516769336071185</v>
          </cell>
        </row>
        <row r="580">
          <cell r="A580">
            <v>38469</v>
          </cell>
          <cell r="B580" t="str">
            <v>SCARGILL</v>
          </cell>
          <cell r="C580" t="str">
            <v>LUKE</v>
          </cell>
          <cell r="D580">
            <v>35483</v>
          </cell>
          <cell r="E580">
            <v>17.524982888432579</v>
          </cell>
        </row>
        <row r="581">
          <cell r="A581">
            <v>210748</v>
          </cell>
          <cell r="B581" t="str">
            <v>HICKEY</v>
          </cell>
          <cell r="C581" t="str">
            <v>DARREN</v>
          </cell>
          <cell r="D581">
            <v>35466</v>
          </cell>
          <cell r="E581">
            <v>17.571526351813826</v>
          </cell>
        </row>
        <row r="582">
          <cell r="A582">
            <v>126181</v>
          </cell>
          <cell r="B582" t="str">
            <v>JACKMAN</v>
          </cell>
          <cell r="C582" t="str">
            <v>EZEKIEL</v>
          </cell>
          <cell r="D582">
            <v>35461</v>
          </cell>
          <cell r="E582">
            <v>17.585215605749486</v>
          </cell>
        </row>
        <row r="583">
          <cell r="A583">
            <v>126178</v>
          </cell>
          <cell r="B583" t="str">
            <v>JACKMAN</v>
          </cell>
          <cell r="C583" t="str">
            <v>SAMUEL</v>
          </cell>
          <cell r="D583">
            <v>35461</v>
          </cell>
          <cell r="E583">
            <v>17.585215605749486</v>
          </cell>
        </row>
        <row r="584">
          <cell r="A584">
            <v>25324</v>
          </cell>
          <cell r="B584" t="str">
            <v>WEST</v>
          </cell>
          <cell r="C584" t="str">
            <v>GAVRIELLA</v>
          </cell>
          <cell r="D584">
            <v>35457</v>
          </cell>
          <cell r="E584">
            <v>17.596167008898014</v>
          </cell>
        </row>
        <row r="585">
          <cell r="A585">
            <v>4473</v>
          </cell>
          <cell r="B585" t="str">
            <v xml:space="preserve">SERVICE  </v>
          </cell>
          <cell r="C585" t="str">
            <v>BRETT</v>
          </cell>
          <cell r="D585">
            <v>35446</v>
          </cell>
          <cell r="E585">
            <v>17.626283367556468</v>
          </cell>
        </row>
        <row r="586">
          <cell r="A586">
            <v>24362</v>
          </cell>
          <cell r="B586" t="str">
            <v>WISEMAN</v>
          </cell>
          <cell r="C586" t="str">
            <v>THOMAS</v>
          </cell>
          <cell r="D586">
            <v>35446</v>
          </cell>
          <cell r="E586">
            <v>17.626283367556468</v>
          </cell>
        </row>
        <row r="587">
          <cell r="A587">
            <v>30889</v>
          </cell>
          <cell r="B587" t="str">
            <v>SULZBACHER</v>
          </cell>
          <cell r="C587" t="str">
            <v>TUVYA</v>
          </cell>
          <cell r="D587">
            <v>35445</v>
          </cell>
          <cell r="E587">
            <v>17.629021218343599</v>
          </cell>
        </row>
        <row r="588">
          <cell r="A588">
            <v>26797</v>
          </cell>
          <cell r="B588" t="str">
            <v>RABSON</v>
          </cell>
          <cell r="C588" t="str">
            <v>ESTHER</v>
          </cell>
          <cell r="D588">
            <v>35441</v>
          </cell>
          <cell r="E588">
            <v>17.639972621492127</v>
          </cell>
        </row>
        <row r="589">
          <cell r="A589">
            <v>100622</v>
          </cell>
          <cell r="B589" t="str">
            <v>CHRISTODOULIDES</v>
          </cell>
          <cell r="C589" t="str">
            <v>YIANNIS</v>
          </cell>
          <cell r="D589">
            <v>35440</v>
          </cell>
          <cell r="E589">
            <v>17.642710472279262</v>
          </cell>
        </row>
        <row r="590">
          <cell r="A590">
            <v>30457</v>
          </cell>
          <cell r="B590" t="str">
            <v>LAWRENCE</v>
          </cell>
          <cell r="C590" t="str">
            <v>GABRIELLA</v>
          </cell>
          <cell r="D590">
            <v>35439</v>
          </cell>
          <cell r="E590">
            <v>17.645448323066393</v>
          </cell>
        </row>
        <row r="591">
          <cell r="A591">
            <v>101102</v>
          </cell>
          <cell r="B591" t="str">
            <v>SEGALOV</v>
          </cell>
          <cell r="C591" t="str">
            <v>ISAAC</v>
          </cell>
          <cell r="D591">
            <v>35438</v>
          </cell>
          <cell r="E591">
            <v>17.648186173853524</v>
          </cell>
        </row>
        <row r="592">
          <cell r="A592">
            <v>64521</v>
          </cell>
          <cell r="B592" t="str">
            <v>NYEIN</v>
          </cell>
          <cell r="C592" t="str">
            <v>THU THU</v>
          </cell>
          <cell r="D592">
            <v>35424</v>
          </cell>
          <cell r="E592">
            <v>17.686516084873375</v>
          </cell>
        </row>
        <row r="593">
          <cell r="A593">
            <v>65163</v>
          </cell>
          <cell r="B593" t="str">
            <v>DAYRIT</v>
          </cell>
          <cell r="C593" t="str">
            <v>KEVIN ANTHONY</v>
          </cell>
          <cell r="D593">
            <v>35419</v>
          </cell>
          <cell r="E593">
            <v>17.700205338809035</v>
          </cell>
        </row>
        <row r="594">
          <cell r="A594">
            <v>64884</v>
          </cell>
          <cell r="B594" t="str">
            <v>ABOUDY</v>
          </cell>
          <cell r="C594" t="str">
            <v>DANIEL</v>
          </cell>
          <cell r="D594">
            <v>35418</v>
          </cell>
          <cell r="E594">
            <v>17.702943189596166</v>
          </cell>
        </row>
        <row r="595">
          <cell r="A595">
            <v>65276</v>
          </cell>
          <cell r="B595" t="str">
            <v>INGLIS</v>
          </cell>
          <cell r="C595" t="str">
            <v>JACK</v>
          </cell>
          <cell r="D595">
            <v>35405</v>
          </cell>
          <cell r="E595">
            <v>17.738535249828885</v>
          </cell>
        </row>
        <row r="596">
          <cell r="A596">
            <v>52897</v>
          </cell>
          <cell r="B596" t="str">
            <v>STEELS</v>
          </cell>
          <cell r="C596" t="str">
            <v>LUKE</v>
          </cell>
          <cell r="D596">
            <v>35404</v>
          </cell>
          <cell r="E596">
            <v>17.741273100616016</v>
          </cell>
        </row>
        <row r="597">
          <cell r="A597">
            <v>38111</v>
          </cell>
          <cell r="B597" t="str">
            <v>GODFREY</v>
          </cell>
          <cell r="C597" t="str">
            <v>TIFFANY</v>
          </cell>
          <cell r="D597">
            <v>35402</v>
          </cell>
          <cell r="E597">
            <v>17.746748802190282</v>
          </cell>
        </row>
        <row r="598">
          <cell r="A598">
            <v>22538</v>
          </cell>
          <cell r="B598" t="str">
            <v>RAMEZANZADEH</v>
          </cell>
          <cell r="C598" t="str">
            <v>MEHDI</v>
          </cell>
          <cell r="D598">
            <v>35387</v>
          </cell>
          <cell r="E598">
            <v>17.787816563997261</v>
          </cell>
        </row>
        <row r="599">
          <cell r="A599">
            <v>30270</v>
          </cell>
          <cell r="B599" t="str">
            <v>ANDREWS</v>
          </cell>
          <cell r="C599" t="str">
            <v>BRAD</v>
          </cell>
          <cell r="D599">
            <v>35384</v>
          </cell>
          <cell r="E599">
            <v>17.796030116358658</v>
          </cell>
        </row>
        <row r="600">
          <cell r="A600">
            <v>20248</v>
          </cell>
          <cell r="B600" t="str">
            <v>ALTERMAN</v>
          </cell>
          <cell r="C600" t="str">
            <v>LOUIS</v>
          </cell>
          <cell r="D600">
            <v>35375</v>
          </cell>
          <cell r="E600">
            <v>17.820670773442849</v>
          </cell>
        </row>
        <row r="601">
          <cell r="A601">
            <v>64879</v>
          </cell>
          <cell r="B601" t="str">
            <v>RUSSELL</v>
          </cell>
          <cell r="C601" t="str">
            <v>SARAH</v>
          </cell>
          <cell r="D601">
            <v>35372</v>
          </cell>
          <cell r="E601">
            <v>17.828884325804243</v>
          </cell>
        </row>
        <row r="602">
          <cell r="A602">
            <v>70428</v>
          </cell>
          <cell r="B602" t="str">
            <v>HOPKINS</v>
          </cell>
          <cell r="C602" t="str">
            <v>LOUISE</v>
          </cell>
          <cell r="D602">
            <v>35371</v>
          </cell>
          <cell r="E602">
            <v>17.831622176591377</v>
          </cell>
        </row>
        <row r="603">
          <cell r="A603">
            <v>149756</v>
          </cell>
          <cell r="B603" t="str">
            <v>GREEN</v>
          </cell>
          <cell r="C603" t="str">
            <v>DAVAINE</v>
          </cell>
          <cell r="D603">
            <v>35371</v>
          </cell>
          <cell r="E603">
            <v>17.831622176591377</v>
          </cell>
        </row>
        <row r="604">
          <cell r="A604">
            <v>193737</v>
          </cell>
          <cell r="B604" t="str">
            <v>McDONALD</v>
          </cell>
          <cell r="C604" t="str">
            <v>SHANE</v>
          </cell>
          <cell r="D604">
            <v>35368</v>
          </cell>
          <cell r="E604">
            <v>17.839835728952771</v>
          </cell>
        </row>
        <row r="605">
          <cell r="A605">
            <v>24296</v>
          </cell>
          <cell r="B605" t="str">
            <v>MILLER</v>
          </cell>
          <cell r="C605" t="str">
            <v>ASHLEY</v>
          </cell>
          <cell r="D605">
            <v>35368</v>
          </cell>
          <cell r="E605">
            <v>17.839835728952771</v>
          </cell>
        </row>
        <row r="606">
          <cell r="A606">
            <v>17437</v>
          </cell>
          <cell r="B606" t="str">
            <v>FILINSKI</v>
          </cell>
          <cell r="C606" t="str">
            <v>ANTHONY</v>
          </cell>
          <cell r="D606">
            <v>35367</v>
          </cell>
          <cell r="E606">
            <v>17.842573579739906</v>
          </cell>
        </row>
        <row r="607">
          <cell r="A607">
            <v>15530</v>
          </cell>
          <cell r="B607" t="str">
            <v>PROUD</v>
          </cell>
          <cell r="C607" t="str">
            <v>JAMES</v>
          </cell>
          <cell r="D607">
            <v>35364</v>
          </cell>
          <cell r="E607">
            <v>17.850787132101299</v>
          </cell>
        </row>
        <row r="608">
          <cell r="A608">
            <v>22291</v>
          </cell>
          <cell r="B608" t="str">
            <v>STANLEY</v>
          </cell>
          <cell r="C608" t="str">
            <v>CHARLIE</v>
          </cell>
          <cell r="D608">
            <v>35357</v>
          </cell>
          <cell r="E608">
            <v>17.869952087611225</v>
          </cell>
        </row>
        <row r="609">
          <cell r="A609">
            <v>52914</v>
          </cell>
          <cell r="B609" t="str">
            <v>TILBROOK</v>
          </cell>
          <cell r="C609" t="str">
            <v>SONIA</v>
          </cell>
          <cell r="D609">
            <v>35355</v>
          </cell>
          <cell r="E609">
            <v>17.87542778918549</v>
          </cell>
        </row>
        <row r="610">
          <cell r="A610">
            <v>26144</v>
          </cell>
          <cell r="B610" t="str">
            <v>DAVIES</v>
          </cell>
          <cell r="C610" t="str">
            <v>SHANNON</v>
          </cell>
          <cell r="D610">
            <v>35352</v>
          </cell>
          <cell r="E610">
            <v>17.883641341546884</v>
          </cell>
        </row>
        <row r="611">
          <cell r="A611">
            <v>51183</v>
          </cell>
          <cell r="B611" t="str">
            <v>MILLER</v>
          </cell>
          <cell r="C611" t="str">
            <v>CONOR</v>
          </cell>
          <cell r="D611">
            <v>35347</v>
          </cell>
          <cell r="E611">
            <v>17.897330595482547</v>
          </cell>
        </row>
        <row r="612">
          <cell r="A612">
            <v>51157</v>
          </cell>
          <cell r="B612" t="str">
            <v>BOWLING</v>
          </cell>
          <cell r="C612" t="str">
            <v>THOMAS</v>
          </cell>
          <cell r="D612">
            <v>35340</v>
          </cell>
          <cell r="E612">
            <v>17.916495550992472</v>
          </cell>
        </row>
        <row r="613">
          <cell r="A613">
            <v>19628</v>
          </cell>
          <cell r="B613" t="str">
            <v>SHAW</v>
          </cell>
          <cell r="C613" t="str">
            <v>RACHEL</v>
          </cell>
          <cell r="D613">
            <v>35339</v>
          </cell>
          <cell r="E613">
            <v>17.919233401779604</v>
          </cell>
        </row>
        <row r="614">
          <cell r="A614">
            <v>130121</v>
          </cell>
          <cell r="B614" t="str">
            <v>CATZ</v>
          </cell>
          <cell r="C614" t="str">
            <v>YISROEL</v>
          </cell>
          <cell r="D614">
            <v>35334</v>
          </cell>
          <cell r="E614">
            <v>17.932922655715263</v>
          </cell>
        </row>
        <row r="615">
          <cell r="A615">
            <v>101545</v>
          </cell>
          <cell r="B615" t="str">
            <v>GRANT-TAITT</v>
          </cell>
          <cell r="C615" t="str">
            <v>KHADIJAH</v>
          </cell>
          <cell r="D615">
            <v>35315</v>
          </cell>
          <cell r="E615">
            <v>17.984941820670773</v>
          </cell>
        </row>
        <row r="616">
          <cell r="A616">
            <v>297897</v>
          </cell>
          <cell r="B616" t="str">
            <v>CRAWLEY</v>
          </cell>
          <cell r="C616" t="str">
            <v>LUCA</v>
          </cell>
          <cell r="D616">
            <v>40155</v>
          </cell>
          <cell r="E616">
            <v>4.7337440109514031</v>
          </cell>
        </row>
        <row r="617">
          <cell r="A617">
            <v>26456</v>
          </cell>
          <cell r="B617" t="str">
            <v>MOSS</v>
          </cell>
          <cell r="C617" t="str">
            <v>NACHUM</v>
          </cell>
          <cell r="D617">
            <v>35306</v>
          </cell>
          <cell r="E617">
            <v>18.009582477754961</v>
          </cell>
        </row>
        <row r="618">
          <cell r="A618">
            <v>18110</v>
          </cell>
          <cell r="B618" t="str">
            <v>BUTT</v>
          </cell>
          <cell r="C618" t="str">
            <v>MICHAELA</v>
          </cell>
          <cell r="D618">
            <v>35293</v>
          </cell>
          <cell r="E618">
            <v>18.04517453798768</v>
          </cell>
        </row>
        <row r="619">
          <cell r="A619">
            <v>15636</v>
          </cell>
          <cell r="B619" t="str">
            <v>AWALE</v>
          </cell>
          <cell r="C619" t="str">
            <v>MOHAMED</v>
          </cell>
          <cell r="D619">
            <v>35292</v>
          </cell>
          <cell r="E619">
            <v>18.047912388774812</v>
          </cell>
        </row>
        <row r="620">
          <cell r="A620">
            <v>65082</v>
          </cell>
          <cell r="B620" t="str">
            <v>PEREGBA-MAJODINA</v>
          </cell>
          <cell r="C620" t="str">
            <v>MBULELO</v>
          </cell>
          <cell r="D620">
            <v>35282</v>
          </cell>
          <cell r="E620">
            <v>18.075290896646134</v>
          </cell>
        </row>
        <row r="621">
          <cell r="A621">
            <v>18101</v>
          </cell>
          <cell r="B621" t="str">
            <v>BARRETT</v>
          </cell>
          <cell r="C621" t="str">
            <v>WARREN</v>
          </cell>
          <cell r="D621">
            <v>35272</v>
          </cell>
          <cell r="E621">
            <v>18.102669404517453</v>
          </cell>
        </row>
        <row r="622">
          <cell r="A622">
            <v>26633</v>
          </cell>
          <cell r="B622" t="str">
            <v>ERLICH</v>
          </cell>
          <cell r="C622" t="str">
            <v>TZIVIA</v>
          </cell>
          <cell r="D622">
            <v>35270</v>
          </cell>
          <cell r="E622">
            <v>18.108145106091719</v>
          </cell>
        </row>
        <row r="623">
          <cell r="A623">
            <v>30860</v>
          </cell>
          <cell r="B623" t="str">
            <v>ROTENBERG</v>
          </cell>
          <cell r="C623" t="str">
            <v>SHAMMAI</v>
          </cell>
          <cell r="D623">
            <v>35268</v>
          </cell>
          <cell r="E623">
            <v>18.113620807665981</v>
          </cell>
        </row>
        <row r="624">
          <cell r="A624">
            <v>36032</v>
          </cell>
          <cell r="B624" t="str">
            <v>KISHINANI</v>
          </cell>
          <cell r="C624" t="str">
            <v>TIANA</v>
          </cell>
          <cell r="D624">
            <v>35266</v>
          </cell>
          <cell r="E624">
            <v>18.119096509240247</v>
          </cell>
        </row>
        <row r="625">
          <cell r="A625">
            <v>22588</v>
          </cell>
          <cell r="B625" t="str">
            <v>THOMPSON</v>
          </cell>
          <cell r="C625" t="str">
            <v>ROANNA</v>
          </cell>
          <cell r="D625">
            <v>35259</v>
          </cell>
          <cell r="E625">
            <v>18.138261464750173</v>
          </cell>
        </row>
        <row r="626">
          <cell r="A626">
            <v>51207</v>
          </cell>
          <cell r="B626" t="str">
            <v>BULL</v>
          </cell>
          <cell r="C626" t="str">
            <v>LUKE</v>
          </cell>
          <cell r="D626">
            <v>35258</v>
          </cell>
          <cell r="E626">
            <v>18.140999315537304</v>
          </cell>
        </row>
        <row r="627">
          <cell r="A627">
            <v>17358</v>
          </cell>
          <cell r="B627" t="str">
            <v>SHAW</v>
          </cell>
          <cell r="C627" t="str">
            <v>CIARA</v>
          </cell>
          <cell r="D627">
            <v>35258</v>
          </cell>
          <cell r="E627">
            <v>18.140999315537304</v>
          </cell>
        </row>
        <row r="628">
          <cell r="A628">
            <v>65004</v>
          </cell>
          <cell r="B628" t="str">
            <v>ADEBAYO</v>
          </cell>
          <cell r="C628" t="str">
            <v>AKINTADE</v>
          </cell>
          <cell r="D628">
            <v>35247</v>
          </cell>
          <cell r="E628">
            <v>18.171115674195757</v>
          </cell>
        </row>
        <row r="629">
          <cell r="A629">
            <v>49339</v>
          </cell>
          <cell r="B629" t="str">
            <v>PATHMAN</v>
          </cell>
          <cell r="C629" t="str">
            <v>CHLOE</v>
          </cell>
          <cell r="D629">
            <v>35243</v>
          </cell>
          <cell r="E629">
            <v>18.182067077344286</v>
          </cell>
        </row>
        <row r="630">
          <cell r="A630">
            <v>31875</v>
          </cell>
          <cell r="B630" t="str">
            <v>FISHER</v>
          </cell>
          <cell r="C630" t="str">
            <v>MAX</v>
          </cell>
          <cell r="D630">
            <v>35242</v>
          </cell>
          <cell r="E630">
            <v>18.184804928131417</v>
          </cell>
        </row>
        <row r="631">
          <cell r="A631">
            <v>65006</v>
          </cell>
          <cell r="B631" t="str">
            <v>WINGAD</v>
          </cell>
          <cell r="C631" t="str">
            <v>ARCHIE</v>
          </cell>
          <cell r="D631">
            <v>35239</v>
          </cell>
          <cell r="E631">
            <v>18.193018480492814</v>
          </cell>
        </row>
        <row r="632">
          <cell r="A632">
            <v>65195</v>
          </cell>
          <cell r="B632" t="str">
            <v>FREILICH</v>
          </cell>
          <cell r="C632" t="str">
            <v>PINCHOS-MENACHEM</v>
          </cell>
          <cell r="D632">
            <v>35234</v>
          </cell>
          <cell r="E632">
            <v>18.206707734428473</v>
          </cell>
        </row>
        <row r="633">
          <cell r="A633">
            <v>23083</v>
          </cell>
          <cell r="B633" t="str">
            <v>WARREN</v>
          </cell>
          <cell r="C633" t="str">
            <v>NICOLE</v>
          </cell>
          <cell r="D633">
            <v>35229</v>
          </cell>
          <cell r="E633">
            <v>18.220396988364133</v>
          </cell>
        </row>
        <row r="634">
          <cell r="A634">
            <v>65826</v>
          </cell>
          <cell r="B634" t="str">
            <v>BARNES</v>
          </cell>
          <cell r="C634" t="str">
            <v>JORDAN</v>
          </cell>
          <cell r="D634">
            <v>37369</v>
          </cell>
          <cell r="E634">
            <v>12.361396303901437</v>
          </cell>
        </row>
        <row r="635">
          <cell r="A635">
            <v>23357</v>
          </cell>
          <cell r="B635" t="str">
            <v>GOODING</v>
          </cell>
          <cell r="C635" t="str">
            <v>KIERAN</v>
          </cell>
          <cell r="D635">
            <v>35223</v>
          </cell>
          <cell r="E635">
            <v>18.236824093086927</v>
          </cell>
        </row>
        <row r="636">
          <cell r="A636">
            <v>24501</v>
          </cell>
          <cell r="B636" t="str">
            <v>PETERS</v>
          </cell>
          <cell r="C636" t="str">
            <v>PATRICK</v>
          </cell>
          <cell r="D636">
            <v>35223</v>
          </cell>
          <cell r="E636">
            <v>18.236824093086927</v>
          </cell>
        </row>
        <row r="637">
          <cell r="A637">
            <v>189680</v>
          </cell>
          <cell r="B637" t="str">
            <v>MWATI</v>
          </cell>
          <cell r="C637" t="str">
            <v>OLIVIA</v>
          </cell>
          <cell r="D637">
            <v>35223</v>
          </cell>
          <cell r="E637">
            <v>18.236824093086927</v>
          </cell>
        </row>
        <row r="638">
          <cell r="A638">
            <v>18684</v>
          </cell>
          <cell r="B638" t="str">
            <v>MULCAHY</v>
          </cell>
          <cell r="C638" t="str">
            <v>SHANE</v>
          </cell>
          <cell r="D638">
            <v>35220</v>
          </cell>
          <cell r="E638">
            <v>18.245037645448324</v>
          </cell>
        </row>
        <row r="639">
          <cell r="A639">
            <v>65012</v>
          </cell>
          <cell r="B639" t="str">
            <v>COTTON</v>
          </cell>
          <cell r="C639" t="str">
            <v>JACK</v>
          </cell>
          <cell r="D639">
            <v>35220</v>
          </cell>
          <cell r="E639">
            <v>18.245037645448324</v>
          </cell>
        </row>
        <row r="640">
          <cell r="A640">
            <v>232856</v>
          </cell>
          <cell r="B640" t="str">
            <v>MOKEKOLA</v>
          </cell>
          <cell r="C640" t="str">
            <v>BRIAN</v>
          </cell>
          <cell r="D640">
            <v>35217</v>
          </cell>
          <cell r="E640">
            <v>18.253251197809718</v>
          </cell>
        </row>
        <row r="641">
          <cell r="A641">
            <v>100666</v>
          </cell>
          <cell r="B641" t="str">
            <v>CICHOWSKI</v>
          </cell>
          <cell r="C641" t="str">
            <v>BARTOSZ</v>
          </cell>
          <cell r="D641">
            <v>35216</v>
          </cell>
          <cell r="E641">
            <v>18.255989048596852</v>
          </cell>
        </row>
        <row r="642">
          <cell r="A642">
            <v>68701</v>
          </cell>
          <cell r="B642" t="str">
            <v>FOORD</v>
          </cell>
          <cell r="C642" t="str">
            <v>ZOE</v>
          </cell>
          <cell r="D642">
            <v>35213</v>
          </cell>
          <cell r="E642">
            <v>18.264202600958249</v>
          </cell>
        </row>
        <row r="643">
          <cell r="A643">
            <v>18006</v>
          </cell>
          <cell r="B643" t="str">
            <v>SALT-EMERSON</v>
          </cell>
          <cell r="C643" t="str">
            <v>MEGAN</v>
          </cell>
          <cell r="D643">
            <v>35208</v>
          </cell>
          <cell r="E643">
            <v>18.277891854893909</v>
          </cell>
        </row>
        <row r="644">
          <cell r="A644">
            <v>23005</v>
          </cell>
          <cell r="B644" t="str">
            <v>GURNEY</v>
          </cell>
          <cell r="C644" t="str">
            <v>BRADLEY</v>
          </cell>
          <cell r="D644">
            <v>35197</v>
          </cell>
          <cell r="E644">
            <v>18.308008213552363</v>
          </cell>
        </row>
        <row r="645">
          <cell r="A645">
            <v>195614</v>
          </cell>
          <cell r="B645" t="str">
            <v>FOSTER</v>
          </cell>
          <cell r="C645" t="str">
            <v>LUKE</v>
          </cell>
          <cell r="D645">
            <v>35195</v>
          </cell>
          <cell r="E645">
            <v>18.313483915126625</v>
          </cell>
        </row>
        <row r="646">
          <cell r="A646">
            <v>134489</v>
          </cell>
          <cell r="B646" t="str">
            <v>LEVY</v>
          </cell>
          <cell r="C646" t="str">
            <v>SAMUEL</v>
          </cell>
          <cell r="D646">
            <v>35186</v>
          </cell>
          <cell r="E646">
            <v>18.338124572210816</v>
          </cell>
        </row>
        <row r="647">
          <cell r="A647">
            <v>17183</v>
          </cell>
          <cell r="B647" t="str">
            <v>FEARON</v>
          </cell>
          <cell r="C647" t="str">
            <v>DIONNE</v>
          </cell>
          <cell r="D647">
            <v>35179</v>
          </cell>
          <cell r="E647">
            <v>18.357289527720738</v>
          </cell>
        </row>
        <row r="648">
          <cell r="A648">
            <v>65221</v>
          </cell>
          <cell r="B648" t="str">
            <v>SANGER</v>
          </cell>
          <cell r="C648" t="str">
            <v>YAAKOV</v>
          </cell>
          <cell r="D648">
            <v>35177</v>
          </cell>
          <cell r="E648">
            <v>18.362765229295004</v>
          </cell>
        </row>
        <row r="649">
          <cell r="A649">
            <v>110097</v>
          </cell>
          <cell r="B649" t="str">
            <v>SAGIV</v>
          </cell>
          <cell r="C649" t="str">
            <v>ADAM</v>
          </cell>
          <cell r="D649">
            <v>35167</v>
          </cell>
          <cell r="E649">
            <v>18.390143737166323</v>
          </cell>
        </row>
        <row r="650">
          <cell r="A650">
            <v>71163</v>
          </cell>
          <cell r="B650" t="str">
            <v>SINCLAIR</v>
          </cell>
          <cell r="C650" t="str">
            <v>DANIEL</v>
          </cell>
          <cell r="D650">
            <v>35158</v>
          </cell>
          <cell r="E650">
            <v>18.414784394250514</v>
          </cell>
        </row>
        <row r="651">
          <cell r="A651">
            <v>199585</v>
          </cell>
          <cell r="B651" t="str">
            <v>UKPABIA</v>
          </cell>
          <cell r="C651" t="str">
            <v>CYNETHIA</v>
          </cell>
          <cell r="D651">
            <v>35155</v>
          </cell>
          <cell r="E651">
            <v>18.422997946611911</v>
          </cell>
        </row>
        <row r="652">
          <cell r="A652">
            <v>66192</v>
          </cell>
          <cell r="B652" t="str">
            <v>OWEN</v>
          </cell>
          <cell r="C652" t="str">
            <v>OLIVER</v>
          </cell>
          <cell r="D652">
            <v>35154</v>
          </cell>
          <cell r="E652">
            <v>18.425735797399042</v>
          </cell>
        </row>
        <row r="653">
          <cell r="A653">
            <v>212722</v>
          </cell>
          <cell r="B653" t="str">
            <v>LUZ COSTA</v>
          </cell>
          <cell r="C653" t="str">
            <v>BRUNA</v>
          </cell>
          <cell r="D653">
            <v>35150</v>
          </cell>
          <cell r="E653">
            <v>18.436687200547571</v>
          </cell>
        </row>
        <row r="654">
          <cell r="A654">
            <v>71106</v>
          </cell>
          <cell r="B654" t="str">
            <v>MALLEY</v>
          </cell>
          <cell r="C654" t="str">
            <v>NATALIE</v>
          </cell>
          <cell r="D654">
            <v>35145</v>
          </cell>
          <cell r="E654">
            <v>18.45037645448323</v>
          </cell>
        </row>
        <row r="655">
          <cell r="A655">
            <v>64885</v>
          </cell>
          <cell r="B655" t="str">
            <v>BONHAM</v>
          </cell>
          <cell r="C655" t="str">
            <v>DAN</v>
          </cell>
          <cell r="D655">
            <v>35144</v>
          </cell>
          <cell r="E655">
            <v>18.453114305270361</v>
          </cell>
        </row>
        <row r="656">
          <cell r="A656">
            <v>30483</v>
          </cell>
          <cell r="B656" t="str">
            <v>LIPMAN</v>
          </cell>
          <cell r="C656" t="str">
            <v>ADAM</v>
          </cell>
          <cell r="D656">
            <v>35141</v>
          </cell>
          <cell r="E656">
            <v>18.461327857631758</v>
          </cell>
        </row>
        <row r="657">
          <cell r="A657">
            <v>21057</v>
          </cell>
          <cell r="B657" t="str">
            <v>COLEMAN</v>
          </cell>
          <cell r="C657" t="str">
            <v>SAM</v>
          </cell>
          <cell r="D657">
            <v>35137</v>
          </cell>
          <cell r="E657">
            <v>18.472279260780287</v>
          </cell>
        </row>
        <row r="658">
          <cell r="A658">
            <v>18141</v>
          </cell>
          <cell r="B658" t="str">
            <v>ENEFER</v>
          </cell>
          <cell r="C658" t="str">
            <v>TOMASZ</v>
          </cell>
          <cell r="D658">
            <v>35136</v>
          </cell>
          <cell r="E658">
            <v>18.475017111567421</v>
          </cell>
        </row>
        <row r="659">
          <cell r="A659">
            <v>127221</v>
          </cell>
          <cell r="B659" t="str">
            <v>ARORA</v>
          </cell>
          <cell r="C659" t="str">
            <v>RUBY</v>
          </cell>
          <cell r="D659">
            <v>35136</v>
          </cell>
          <cell r="E659">
            <v>18.475017111567421</v>
          </cell>
        </row>
        <row r="660">
          <cell r="A660">
            <v>37810</v>
          </cell>
          <cell r="B660" t="str">
            <v>CLARK</v>
          </cell>
          <cell r="C660" t="str">
            <v>HAMISH</v>
          </cell>
          <cell r="D660">
            <v>35132</v>
          </cell>
          <cell r="E660">
            <v>18.48596851471595</v>
          </cell>
        </row>
        <row r="661">
          <cell r="A661">
            <v>30547</v>
          </cell>
          <cell r="B661" t="str">
            <v>ROSS</v>
          </cell>
          <cell r="C661" t="str">
            <v>GABRIEL</v>
          </cell>
          <cell r="D661">
            <v>35130</v>
          </cell>
          <cell r="E661">
            <v>18.491444216290212</v>
          </cell>
        </row>
        <row r="662">
          <cell r="A662">
            <v>64897</v>
          </cell>
          <cell r="B662" t="str">
            <v>IGEL</v>
          </cell>
          <cell r="C662" t="str">
            <v>SCOTT</v>
          </cell>
          <cell r="D662">
            <v>35125</v>
          </cell>
          <cell r="E662">
            <v>18.505133470225871</v>
          </cell>
        </row>
        <row r="663">
          <cell r="A663">
            <v>41123</v>
          </cell>
          <cell r="B663" t="str">
            <v>MADJIDI</v>
          </cell>
          <cell r="C663" t="str">
            <v>MARYAM</v>
          </cell>
          <cell r="D663">
            <v>35122</v>
          </cell>
          <cell r="E663">
            <v>18.513347022587268</v>
          </cell>
        </row>
        <row r="664">
          <cell r="A664">
            <v>32130</v>
          </cell>
          <cell r="B664" t="str">
            <v>HALIM</v>
          </cell>
          <cell r="C664" t="str">
            <v>FATMA</v>
          </cell>
          <cell r="D664">
            <v>35117</v>
          </cell>
          <cell r="E664">
            <v>18.527036276522928</v>
          </cell>
        </row>
        <row r="665">
          <cell r="A665">
            <v>30537</v>
          </cell>
          <cell r="B665" t="str">
            <v>RICHARDS</v>
          </cell>
          <cell r="C665" t="str">
            <v>JONATHAN</v>
          </cell>
          <cell r="D665">
            <v>35090</v>
          </cell>
          <cell r="E665">
            <v>18.600958247775495</v>
          </cell>
        </row>
        <row r="666">
          <cell r="A666">
            <v>4532</v>
          </cell>
          <cell r="B666" t="str">
            <v>MOTTORSHEAD</v>
          </cell>
          <cell r="C666" t="str">
            <v>DONNA</v>
          </cell>
          <cell r="D666">
            <v>35085</v>
          </cell>
          <cell r="E666">
            <v>18.614647501711158</v>
          </cell>
        </row>
        <row r="667">
          <cell r="A667">
            <v>197487</v>
          </cell>
          <cell r="B667" t="str">
            <v>HAMILTON-BUONOCORE</v>
          </cell>
          <cell r="C667" t="str">
            <v>EMANUELA</v>
          </cell>
          <cell r="D667">
            <v>35074</v>
          </cell>
          <cell r="E667">
            <v>18.644763860369611</v>
          </cell>
        </row>
        <row r="668">
          <cell r="A668">
            <v>51194</v>
          </cell>
          <cell r="B668" t="str">
            <v>SMITH</v>
          </cell>
          <cell r="C668" t="str">
            <v>DARREN</v>
          </cell>
          <cell r="D668">
            <v>35071</v>
          </cell>
          <cell r="E668">
            <v>18.652977412731005</v>
          </cell>
        </row>
        <row r="669">
          <cell r="A669">
            <v>118199</v>
          </cell>
          <cell r="B669" t="str">
            <v>BACA</v>
          </cell>
          <cell r="C669" t="str">
            <v>MIMIZA</v>
          </cell>
          <cell r="D669">
            <v>35058</v>
          </cell>
          <cell r="E669">
            <v>18.688569472963724</v>
          </cell>
        </row>
        <row r="670">
          <cell r="A670">
            <v>31914</v>
          </cell>
          <cell r="B670" t="str">
            <v>LANDAU</v>
          </cell>
          <cell r="C670" t="str">
            <v>JAMIE</v>
          </cell>
          <cell r="D670">
            <v>35051</v>
          </cell>
          <cell r="E670">
            <v>18.70773442847365</v>
          </cell>
        </row>
        <row r="671">
          <cell r="A671">
            <v>200602</v>
          </cell>
          <cell r="B671" t="str">
            <v>AWAD</v>
          </cell>
          <cell r="C671" t="str">
            <v>HUMED</v>
          </cell>
          <cell r="D671">
            <v>35039</v>
          </cell>
          <cell r="E671">
            <v>18.740588637919235</v>
          </cell>
        </row>
        <row r="672">
          <cell r="A672">
            <v>213653</v>
          </cell>
          <cell r="B672" t="str">
            <v>ROBERTS</v>
          </cell>
          <cell r="C672" t="str">
            <v>PIERCE</v>
          </cell>
          <cell r="D672">
            <v>35037</v>
          </cell>
          <cell r="E672">
            <v>18.746064339493497</v>
          </cell>
        </row>
        <row r="673">
          <cell r="A673">
            <v>65155</v>
          </cell>
          <cell r="B673" t="str">
            <v>ZAHIR</v>
          </cell>
          <cell r="C673" t="str">
            <v>ARASH</v>
          </cell>
          <cell r="D673">
            <v>35021</v>
          </cell>
          <cell r="E673">
            <v>18.78986995208761</v>
          </cell>
        </row>
        <row r="674">
          <cell r="A674">
            <v>281333</v>
          </cell>
          <cell r="B674" t="str">
            <v>BRENNAN</v>
          </cell>
          <cell r="C674" t="str">
            <v>KIERAN</v>
          </cell>
          <cell r="D674">
            <v>35019</v>
          </cell>
          <cell r="E674">
            <v>18.795345653661876</v>
          </cell>
        </row>
        <row r="675">
          <cell r="A675">
            <v>8129</v>
          </cell>
          <cell r="B675" t="str">
            <v>ROSENWINK</v>
          </cell>
          <cell r="C675" t="str">
            <v>CAMERON</v>
          </cell>
          <cell r="D675">
            <v>35017</v>
          </cell>
          <cell r="E675">
            <v>18.800821355236138</v>
          </cell>
        </row>
        <row r="676">
          <cell r="A676">
            <v>17514</v>
          </cell>
          <cell r="B676" t="str">
            <v>RAMAGE</v>
          </cell>
          <cell r="C676" t="str">
            <v>FREDERICO</v>
          </cell>
          <cell r="D676">
            <v>35014</v>
          </cell>
          <cell r="E676">
            <v>18.809034907597535</v>
          </cell>
        </row>
        <row r="677">
          <cell r="A677">
            <v>65000</v>
          </cell>
          <cell r="B677" t="str">
            <v>FASHANU</v>
          </cell>
          <cell r="C677" t="str">
            <v>AMIR</v>
          </cell>
          <cell r="D677">
            <v>35008</v>
          </cell>
          <cell r="E677">
            <v>18.82546201232033</v>
          </cell>
        </row>
        <row r="678">
          <cell r="A678">
            <v>64886</v>
          </cell>
          <cell r="B678" t="str">
            <v>BARNETT</v>
          </cell>
          <cell r="C678" t="str">
            <v>PHILIP</v>
          </cell>
          <cell r="D678">
            <v>35005</v>
          </cell>
          <cell r="E678">
            <v>18.833675564681723</v>
          </cell>
        </row>
        <row r="679">
          <cell r="A679">
            <v>65314</v>
          </cell>
          <cell r="B679" t="str">
            <v>HUCKLE</v>
          </cell>
          <cell r="C679" t="str">
            <v>JAMIE</v>
          </cell>
          <cell r="D679">
            <v>34990</v>
          </cell>
          <cell r="E679">
            <v>18.874743326488705</v>
          </cell>
        </row>
        <row r="680">
          <cell r="A680">
            <v>8570</v>
          </cell>
          <cell r="B680" t="str">
            <v>O'HARE DOILEY</v>
          </cell>
          <cell r="C680" t="str">
            <v>JASON</v>
          </cell>
          <cell r="D680">
            <v>34983</v>
          </cell>
          <cell r="E680">
            <v>18.89390828199863</v>
          </cell>
        </row>
        <row r="681">
          <cell r="A681">
            <v>207856</v>
          </cell>
          <cell r="B681" t="str">
            <v>BOWLER</v>
          </cell>
          <cell r="C681" t="str">
            <v>PETER</v>
          </cell>
          <cell r="D681">
            <v>34979</v>
          </cell>
          <cell r="E681">
            <v>18.904859685147159</v>
          </cell>
        </row>
        <row r="682">
          <cell r="A682">
            <v>103967</v>
          </cell>
          <cell r="B682" t="str">
            <v>FOSSEY</v>
          </cell>
          <cell r="C682" t="str">
            <v>MARK</v>
          </cell>
          <cell r="D682">
            <v>34979</v>
          </cell>
          <cell r="E682">
            <v>18.904859685147159</v>
          </cell>
        </row>
        <row r="683">
          <cell r="A683">
            <v>72335</v>
          </cell>
          <cell r="B683" t="str">
            <v>MBETOLO</v>
          </cell>
          <cell r="C683" t="str">
            <v>SMITH</v>
          </cell>
          <cell r="D683">
            <v>34976</v>
          </cell>
          <cell r="E683">
            <v>18.913073237508556</v>
          </cell>
        </row>
        <row r="684">
          <cell r="A684">
            <v>24153</v>
          </cell>
          <cell r="B684" t="str">
            <v>REES</v>
          </cell>
          <cell r="C684" t="str">
            <v>SARAH JANE</v>
          </cell>
          <cell r="D684">
            <v>34975</v>
          </cell>
          <cell r="E684">
            <v>18.915811088295687</v>
          </cell>
        </row>
        <row r="685">
          <cell r="A685">
            <v>38590</v>
          </cell>
          <cell r="B685" t="str">
            <v>FREUD</v>
          </cell>
          <cell r="C685" t="str">
            <v>THEO</v>
          </cell>
          <cell r="D685">
            <v>34968</v>
          </cell>
          <cell r="E685">
            <v>18.934976043805612</v>
          </cell>
        </row>
        <row r="686">
          <cell r="A686">
            <v>30597</v>
          </cell>
          <cell r="B686" t="str">
            <v>WUNSH</v>
          </cell>
          <cell r="C686" t="str">
            <v>NAOMI</v>
          </cell>
          <cell r="D686">
            <v>34966</v>
          </cell>
          <cell r="E686">
            <v>18.940451745379878</v>
          </cell>
        </row>
        <row r="687">
          <cell r="A687">
            <v>25051</v>
          </cell>
          <cell r="B687" t="str">
            <v>MORGAN</v>
          </cell>
          <cell r="C687" t="str">
            <v>JOHN</v>
          </cell>
          <cell r="D687">
            <v>34964</v>
          </cell>
          <cell r="E687">
            <v>18.945927446954141</v>
          </cell>
        </row>
        <row r="688">
          <cell r="A688">
            <v>26292</v>
          </cell>
          <cell r="B688" t="str">
            <v>OWUSU-POKU</v>
          </cell>
          <cell r="C688" t="str">
            <v>YAW</v>
          </cell>
          <cell r="D688">
            <v>34963</v>
          </cell>
          <cell r="E688">
            <v>18.948665297741272</v>
          </cell>
        </row>
        <row r="689">
          <cell r="A689">
            <v>65265</v>
          </cell>
          <cell r="B689" t="str">
            <v>LEIGH</v>
          </cell>
          <cell r="C689" t="str">
            <v>SABRINA</v>
          </cell>
          <cell r="D689">
            <v>34955</v>
          </cell>
          <cell r="E689">
            <v>18.970568104038328</v>
          </cell>
        </row>
        <row r="690">
          <cell r="A690">
            <v>18197</v>
          </cell>
          <cell r="B690" t="str">
            <v>LISMORE</v>
          </cell>
          <cell r="C690" t="str">
            <v>LOUISE</v>
          </cell>
          <cell r="D690">
            <v>34954</v>
          </cell>
          <cell r="E690">
            <v>18.973305954825463</v>
          </cell>
        </row>
        <row r="691">
          <cell r="A691">
            <v>251299</v>
          </cell>
          <cell r="B691" t="str">
            <v>LLOYD</v>
          </cell>
          <cell r="C691" t="str">
            <v>JOSHUA</v>
          </cell>
          <cell r="D691">
            <v>34944</v>
          </cell>
          <cell r="E691">
            <v>19.000684462696782</v>
          </cell>
        </row>
        <row r="692">
          <cell r="A692">
            <v>26112</v>
          </cell>
          <cell r="B692" t="str">
            <v>BROWN</v>
          </cell>
          <cell r="C692" t="str">
            <v>AARON</v>
          </cell>
          <cell r="D692">
            <v>34939</v>
          </cell>
          <cell r="E692">
            <v>19.014373716632445</v>
          </cell>
        </row>
        <row r="693">
          <cell r="A693">
            <v>146043</v>
          </cell>
          <cell r="B693" t="str">
            <v>ANGEL</v>
          </cell>
          <cell r="C693" t="str">
            <v>FABIAN</v>
          </cell>
          <cell r="D693">
            <v>34931</v>
          </cell>
          <cell r="E693">
            <v>19.036276522929501</v>
          </cell>
        </row>
        <row r="694">
          <cell r="A694">
            <v>18069</v>
          </cell>
          <cell r="B694" t="str">
            <v>WEBSTER</v>
          </cell>
          <cell r="C694" t="str">
            <v>BILLY</v>
          </cell>
          <cell r="D694">
            <v>34926</v>
          </cell>
          <cell r="E694">
            <v>19.049965776865161</v>
          </cell>
        </row>
        <row r="695">
          <cell r="A695">
            <v>15151</v>
          </cell>
          <cell r="B695" t="str">
            <v>WILLIAMS</v>
          </cell>
          <cell r="C695" t="str">
            <v>BEN</v>
          </cell>
          <cell r="D695">
            <v>34923</v>
          </cell>
          <cell r="E695">
            <v>19.058179329226558</v>
          </cell>
        </row>
        <row r="696">
          <cell r="A696">
            <v>20157</v>
          </cell>
          <cell r="B696" t="str">
            <v>PERLBERG</v>
          </cell>
          <cell r="C696" t="str">
            <v>MATTHEW</v>
          </cell>
          <cell r="D696">
            <v>34921</v>
          </cell>
          <cell r="E696">
            <v>19.06365503080082</v>
          </cell>
        </row>
        <row r="697">
          <cell r="A697">
            <v>65123</v>
          </cell>
          <cell r="B697" t="str">
            <v>O'SHEA</v>
          </cell>
          <cell r="C697" t="str">
            <v>DOMINIC</v>
          </cell>
          <cell r="D697">
            <v>34916</v>
          </cell>
          <cell r="E697">
            <v>19.077344284736483</v>
          </cell>
        </row>
        <row r="698">
          <cell r="A698">
            <v>21163</v>
          </cell>
          <cell r="B698" t="str">
            <v>PHILLIPS</v>
          </cell>
          <cell r="C698" t="str">
            <v>ROBERT</v>
          </cell>
          <cell r="D698">
            <v>34916</v>
          </cell>
          <cell r="E698">
            <v>19.077344284736483</v>
          </cell>
        </row>
        <row r="699">
          <cell r="A699">
            <v>127121</v>
          </cell>
          <cell r="B699" t="str">
            <v>MERCIER</v>
          </cell>
          <cell r="C699" t="str">
            <v>ALEX</v>
          </cell>
          <cell r="D699">
            <v>34913</v>
          </cell>
          <cell r="E699">
            <v>19.085557837097877</v>
          </cell>
        </row>
        <row r="700">
          <cell r="A700">
            <v>4020</v>
          </cell>
          <cell r="B700" t="str">
            <v>WAKEFIELD</v>
          </cell>
          <cell r="C700" t="str">
            <v>JAMIE</v>
          </cell>
          <cell r="D700">
            <v>34912</v>
          </cell>
          <cell r="E700">
            <v>19.088295687885012</v>
          </cell>
        </row>
        <row r="701">
          <cell r="A701">
            <v>20512</v>
          </cell>
          <cell r="B701" t="str">
            <v>LATOUCHE</v>
          </cell>
          <cell r="C701" t="str">
            <v>SEAN</v>
          </cell>
          <cell r="D701">
            <v>34910</v>
          </cell>
          <cell r="E701">
            <v>19.093771389459274</v>
          </cell>
        </row>
        <row r="702">
          <cell r="A702">
            <v>28324</v>
          </cell>
          <cell r="B702" t="str">
            <v>BURNARD</v>
          </cell>
          <cell r="C702" t="str">
            <v>JACK</v>
          </cell>
          <cell r="D702">
            <v>34908</v>
          </cell>
          <cell r="E702">
            <v>19.09924709103354</v>
          </cell>
        </row>
        <row r="703">
          <cell r="A703">
            <v>31927</v>
          </cell>
          <cell r="B703" t="str">
            <v>LEVY</v>
          </cell>
          <cell r="C703" t="str">
            <v>KELLY</v>
          </cell>
          <cell r="D703">
            <v>34894</v>
          </cell>
          <cell r="E703">
            <v>19.137577002053387</v>
          </cell>
        </row>
        <row r="704">
          <cell r="A704">
            <v>64948</v>
          </cell>
          <cell r="B704" t="str">
            <v>AZIZ</v>
          </cell>
          <cell r="C704" t="str">
            <v>TALIA</v>
          </cell>
          <cell r="D704">
            <v>34890</v>
          </cell>
          <cell r="E704">
            <v>19.148528405201915</v>
          </cell>
        </row>
        <row r="705">
          <cell r="A705">
            <v>24661</v>
          </cell>
          <cell r="B705" t="str">
            <v>QUASTEL</v>
          </cell>
          <cell r="C705" t="str">
            <v>MAX</v>
          </cell>
          <cell r="D705">
            <v>34876</v>
          </cell>
          <cell r="E705">
            <v>19.186858316221766</v>
          </cell>
        </row>
        <row r="706">
          <cell r="A706">
            <v>17726</v>
          </cell>
          <cell r="B706" t="str">
            <v>AKTHER</v>
          </cell>
          <cell r="C706" t="str">
            <v>ABBAS</v>
          </cell>
          <cell r="D706">
            <v>34867</v>
          </cell>
          <cell r="E706">
            <v>19.211498973305954</v>
          </cell>
        </row>
        <row r="707">
          <cell r="A707">
            <v>64620</v>
          </cell>
          <cell r="B707" t="str">
            <v>EL WAKHERY</v>
          </cell>
          <cell r="C707" t="str">
            <v>ZIAD</v>
          </cell>
          <cell r="D707">
            <v>34866</v>
          </cell>
          <cell r="E707">
            <v>19.214236824093089</v>
          </cell>
        </row>
        <row r="708">
          <cell r="A708">
            <v>26945</v>
          </cell>
          <cell r="B708" t="str">
            <v>DA SILVA SANTOS</v>
          </cell>
          <cell r="C708" t="str">
            <v>MARVYN</v>
          </cell>
          <cell r="D708">
            <v>34865</v>
          </cell>
          <cell r="E708">
            <v>19.21697467488022</v>
          </cell>
        </row>
        <row r="709">
          <cell r="A709">
            <v>24847</v>
          </cell>
          <cell r="B709" t="str">
            <v>SAYERS</v>
          </cell>
          <cell r="C709" t="str">
            <v>RICHARD</v>
          </cell>
          <cell r="D709">
            <v>34862</v>
          </cell>
          <cell r="E709">
            <v>19.225188227241617</v>
          </cell>
        </row>
        <row r="710">
          <cell r="A710">
            <v>65048</v>
          </cell>
          <cell r="B710" t="str">
            <v>LOOKER-BIDDLE</v>
          </cell>
          <cell r="C710" t="str">
            <v>PETER</v>
          </cell>
          <cell r="D710">
            <v>34850</v>
          </cell>
          <cell r="E710">
            <v>19.258042436687202</v>
          </cell>
        </row>
        <row r="711">
          <cell r="A711">
            <v>72149</v>
          </cell>
          <cell r="B711" t="str">
            <v>FIERSTONE</v>
          </cell>
          <cell r="C711" t="str">
            <v>CHARLES</v>
          </cell>
          <cell r="D711">
            <v>34848</v>
          </cell>
          <cell r="E711">
            <v>19.263518138261464</v>
          </cell>
        </row>
        <row r="712">
          <cell r="A712">
            <v>29359</v>
          </cell>
          <cell r="B712" t="str">
            <v>ANDERSON</v>
          </cell>
          <cell r="C712" t="str">
            <v>GEMMA</v>
          </cell>
          <cell r="D712">
            <v>34845</v>
          </cell>
          <cell r="E712">
            <v>19.271731690622861</v>
          </cell>
        </row>
        <row r="713">
          <cell r="A713">
            <v>19649</v>
          </cell>
          <cell r="B713" t="str">
            <v>ADAMS</v>
          </cell>
          <cell r="C713" t="str">
            <v>CHRISTOPHER</v>
          </cell>
          <cell r="D713">
            <v>34837</v>
          </cell>
          <cell r="E713">
            <v>19.293634496919918</v>
          </cell>
        </row>
        <row r="714">
          <cell r="A714">
            <v>133733</v>
          </cell>
          <cell r="B714" t="str">
            <v>SIDARENOU</v>
          </cell>
          <cell r="C714" t="str">
            <v>ANASTASIOS</v>
          </cell>
          <cell r="D714">
            <v>34836</v>
          </cell>
          <cell r="E714">
            <v>19.296372347707049</v>
          </cell>
        </row>
        <row r="715">
          <cell r="A715">
            <v>3595</v>
          </cell>
          <cell r="B715" t="str">
            <v>MANFIELD</v>
          </cell>
          <cell r="C715" t="str">
            <v>ADAM</v>
          </cell>
          <cell r="D715">
            <v>34836</v>
          </cell>
          <cell r="E715">
            <v>19.296372347707049</v>
          </cell>
        </row>
        <row r="716">
          <cell r="A716">
            <v>17306</v>
          </cell>
          <cell r="B716" t="str">
            <v>NAYEE</v>
          </cell>
          <cell r="C716" t="str">
            <v>PAYAL</v>
          </cell>
          <cell r="D716">
            <v>34829</v>
          </cell>
          <cell r="E716">
            <v>19.315537303216974</v>
          </cell>
        </row>
        <row r="717">
          <cell r="A717">
            <v>65149</v>
          </cell>
          <cell r="B717" t="str">
            <v>CHAUDHURI</v>
          </cell>
          <cell r="C717" t="str">
            <v>KIRAN RANJAN</v>
          </cell>
          <cell r="D717">
            <v>34828</v>
          </cell>
          <cell r="E717">
            <v>19.318275154004105</v>
          </cell>
        </row>
        <row r="718">
          <cell r="A718">
            <v>75714</v>
          </cell>
          <cell r="B718" t="str">
            <v>MARTIN NWORISA</v>
          </cell>
          <cell r="C718" t="str">
            <v>KELECHI</v>
          </cell>
          <cell r="D718">
            <v>34822</v>
          </cell>
          <cell r="E718">
            <v>19.3347022587269</v>
          </cell>
        </row>
        <row r="719">
          <cell r="A719">
            <v>148683</v>
          </cell>
          <cell r="B719" t="str">
            <v>MURDOCK</v>
          </cell>
          <cell r="C719" t="str">
            <v>HARLEY</v>
          </cell>
          <cell r="D719">
            <v>34817</v>
          </cell>
          <cell r="E719">
            <v>19.348391512662559</v>
          </cell>
        </row>
        <row r="720">
          <cell r="A720">
            <v>20885</v>
          </cell>
          <cell r="B720" t="str">
            <v>NASTARI</v>
          </cell>
          <cell r="C720" t="str">
            <v>ALI</v>
          </cell>
          <cell r="D720">
            <v>34813</v>
          </cell>
          <cell r="E720">
            <v>19.359342915811087</v>
          </cell>
        </row>
        <row r="721">
          <cell r="A721">
            <v>224921</v>
          </cell>
          <cell r="B721" t="str">
            <v>RILEY</v>
          </cell>
          <cell r="C721" t="str">
            <v>JACK</v>
          </cell>
          <cell r="D721">
            <v>34813</v>
          </cell>
          <cell r="E721">
            <v>19.359342915811087</v>
          </cell>
        </row>
        <row r="722">
          <cell r="A722">
            <v>22882</v>
          </cell>
          <cell r="B722" t="str">
            <v>CAHILL</v>
          </cell>
          <cell r="C722" t="str">
            <v>ROBBIE</v>
          </cell>
          <cell r="D722">
            <v>34811</v>
          </cell>
          <cell r="E722">
            <v>19.364818617385353</v>
          </cell>
        </row>
        <row r="723">
          <cell r="A723">
            <v>171583</v>
          </cell>
          <cell r="B723" t="str">
            <v>LEWIS</v>
          </cell>
          <cell r="C723" t="str">
            <v>TAHJAY</v>
          </cell>
          <cell r="D723">
            <v>34811</v>
          </cell>
          <cell r="E723">
            <v>19.364818617385353</v>
          </cell>
        </row>
        <row r="724">
          <cell r="A724">
            <v>65376</v>
          </cell>
          <cell r="B724" t="str">
            <v>DAWSON</v>
          </cell>
          <cell r="C724" t="str">
            <v>BENJAMIN</v>
          </cell>
          <cell r="D724">
            <v>34803</v>
          </cell>
          <cell r="E724">
            <v>19.38672142368241</v>
          </cell>
        </row>
        <row r="725">
          <cell r="A725">
            <v>3437</v>
          </cell>
          <cell r="B725" t="str">
            <v>GOLABI</v>
          </cell>
          <cell r="C725" t="str">
            <v>EMMA</v>
          </cell>
          <cell r="D725">
            <v>34799</v>
          </cell>
          <cell r="E725">
            <v>19.397672826830938</v>
          </cell>
        </row>
        <row r="726">
          <cell r="A726">
            <v>139493</v>
          </cell>
          <cell r="B726" t="str">
            <v>GOLD</v>
          </cell>
          <cell r="C726" t="str">
            <v>CHLOE</v>
          </cell>
          <cell r="D726">
            <v>34788</v>
          </cell>
          <cell r="E726">
            <v>19.427789185489392</v>
          </cell>
        </row>
        <row r="727">
          <cell r="A727">
            <v>16028</v>
          </cell>
          <cell r="B727" t="str">
            <v>DAWSON</v>
          </cell>
          <cell r="C727" t="str">
            <v>BILLY</v>
          </cell>
          <cell r="D727">
            <v>34778</v>
          </cell>
          <cell r="E727">
            <v>19.455167693360711</v>
          </cell>
        </row>
        <row r="728">
          <cell r="A728">
            <v>64992</v>
          </cell>
          <cell r="B728" t="str">
            <v>SIMON</v>
          </cell>
          <cell r="C728" t="str">
            <v>HADASSAH</v>
          </cell>
          <cell r="D728">
            <v>34777</v>
          </cell>
          <cell r="E728">
            <v>19.457905544147845</v>
          </cell>
        </row>
        <row r="729">
          <cell r="A729">
            <v>8140</v>
          </cell>
          <cell r="B729" t="str">
            <v>BISHOP</v>
          </cell>
          <cell r="C729" t="str">
            <v>NIAH</v>
          </cell>
          <cell r="D729">
            <v>34772</v>
          </cell>
          <cell r="E729">
            <v>19.471594798083505</v>
          </cell>
        </row>
        <row r="730">
          <cell r="A730">
            <v>65223</v>
          </cell>
          <cell r="B730" t="str">
            <v>SCOTT</v>
          </cell>
          <cell r="C730" t="str">
            <v>ELLIOTT</v>
          </cell>
          <cell r="D730">
            <v>34767</v>
          </cell>
          <cell r="E730">
            <v>19.485284052019164</v>
          </cell>
        </row>
        <row r="731">
          <cell r="A731">
            <v>75740</v>
          </cell>
          <cell r="B731" t="str">
            <v>REKHAVI</v>
          </cell>
          <cell r="C731" t="str">
            <v>HANNA</v>
          </cell>
          <cell r="D731">
            <v>34766</v>
          </cell>
          <cell r="E731">
            <v>19.488021902806295</v>
          </cell>
        </row>
        <row r="732">
          <cell r="A732">
            <v>65224</v>
          </cell>
          <cell r="B732" t="str">
            <v>KLIEN</v>
          </cell>
          <cell r="C732" t="str">
            <v>YAEL</v>
          </cell>
          <cell r="D732">
            <v>34763</v>
          </cell>
          <cell r="E732">
            <v>19.496235455167692</v>
          </cell>
        </row>
        <row r="733">
          <cell r="A733">
            <v>20070</v>
          </cell>
          <cell r="B733" t="str">
            <v>KING</v>
          </cell>
          <cell r="C733" t="str">
            <v>VINCENT</v>
          </cell>
          <cell r="D733">
            <v>34754</v>
          </cell>
          <cell r="E733">
            <v>19.520876112251884</v>
          </cell>
        </row>
        <row r="734">
          <cell r="A734">
            <v>51232</v>
          </cell>
          <cell r="B734" t="str">
            <v>PALACIO-FARMER</v>
          </cell>
          <cell r="C734" t="str">
            <v>KATIE</v>
          </cell>
          <cell r="D734">
            <v>34747</v>
          </cell>
          <cell r="E734">
            <v>19.540041067761805</v>
          </cell>
        </row>
        <row r="735">
          <cell r="A735">
            <v>145573</v>
          </cell>
          <cell r="B735" t="str">
            <v>HASAN</v>
          </cell>
          <cell r="C735" t="str">
            <v>KARMEN</v>
          </cell>
          <cell r="D735">
            <v>34737</v>
          </cell>
          <cell r="E735">
            <v>19.567419575633128</v>
          </cell>
        </row>
        <row r="736">
          <cell r="A736">
            <v>30599</v>
          </cell>
          <cell r="B736" t="str">
            <v>ZAMIR</v>
          </cell>
          <cell r="C736" t="str">
            <v>DANIEL</v>
          </cell>
          <cell r="D736">
            <v>34723</v>
          </cell>
          <cell r="E736">
            <v>19.605749486652979</v>
          </cell>
        </row>
        <row r="737">
          <cell r="A737">
            <v>17167</v>
          </cell>
          <cell r="B737" t="str">
            <v>DAMAAN</v>
          </cell>
          <cell r="C737" t="str">
            <v>SAIF</v>
          </cell>
          <cell r="D737">
            <v>34721</v>
          </cell>
          <cell r="E737">
            <v>19.611225188227241</v>
          </cell>
        </row>
        <row r="738">
          <cell r="A738">
            <v>26800</v>
          </cell>
          <cell r="B738" t="str">
            <v>REICH</v>
          </cell>
          <cell r="C738" t="str">
            <v>CHANI</v>
          </cell>
          <cell r="D738">
            <v>34719</v>
          </cell>
          <cell r="E738">
            <v>19.616700889801507</v>
          </cell>
        </row>
        <row r="739">
          <cell r="A739">
            <v>16081</v>
          </cell>
          <cell r="B739" t="str">
            <v>HEIDARIFAR</v>
          </cell>
          <cell r="C739" t="str">
            <v>ARIAN</v>
          </cell>
          <cell r="D739">
            <v>34718</v>
          </cell>
          <cell r="E739">
            <v>19.619438740588638</v>
          </cell>
        </row>
        <row r="740">
          <cell r="A740">
            <v>51187</v>
          </cell>
          <cell r="B740" t="str">
            <v>PORGES</v>
          </cell>
          <cell r="C740" t="str">
            <v>EMILY</v>
          </cell>
          <cell r="D740">
            <v>34708</v>
          </cell>
          <cell r="E740">
            <v>19.646817248459961</v>
          </cell>
        </row>
        <row r="741">
          <cell r="A741">
            <v>67849</v>
          </cell>
          <cell r="B741" t="str">
            <v>MERVIS</v>
          </cell>
          <cell r="C741" t="str">
            <v>RACHEL</v>
          </cell>
          <cell r="D741">
            <v>34707</v>
          </cell>
          <cell r="E741">
            <v>19.649555099247092</v>
          </cell>
        </row>
        <row r="742">
          <cell r="A742">
            <v>24597</v>
          </cell>
          <cell r="B742" t="str">
            <v>HERRIDGE-ISHAK</v>
          </cell>
          <cell r="C742" t="str">
            <v>DANIEL</v>
          </cell>
          <cell r="D742">
            <v>34698</v>
          </cell>
          <cell r="E742">
            <v>19.674195756331279</v>
          </cell>
        </row>
        <row r="743">
          <cell r="A743">
            <v>40372</v>
          </cell>
          <cell r="B743" t="str">
            <v>SAUNDERS</v>
          </cell>
          <cell r="C743" t="str">
            <v>LUCINDA</v>
          </cell>
          <cell r="D743">
            <v>34698</v>
          </cell>
          <cell r="E743">
            <v>19.674195756331279</v>
          </cell>
        </row>
        <row r="744">
          <cell r="A744">
            <v>128306</v>
          </cell>
          <cell r="B744" t="str">
            <v>SERVICE</v>
          </cell>
          <cell r="C744" t="str">
            <v>SHANE</v>
          </cell>
          <cell r="D744">
            <v>34688</v>
          </cell>
          <cell r="E744">
            <v>19.701574264202602</v>
          </cell>
        </row>
        <row r="745">
          <cell r="A745">
            <v>64909</v>
          </cell>
          <cell r="B745" t="str">
            <v>GORDON</v>
          </cell>
          <cell r="C745" t="str">
            <v>BORUCH</v>
          </cell>
          <cell r="D745">
            <v>34679</v>
          </cell>
          <cell r="E745">
            <v>19.72621492128679</v>
          </cell>
        </row>
        <row r="746">
          <cell r="A746">
            <v>31948</v>
          </cell>
          <cell r="B746" t="str">
            <v>MYERS</v>
          </cell>
          <cell r="C746" t="str">
            <v>ITAMAR</v>
          </cell>
          <cell r="D746">
            <v>34663</v>
          </cell>
          <cell r="E746">
            <v>19.770020533880903</v>
          </cell>
        </row>
        <row r="747">
          <cell r="A747">
            <v>17289</v>
          </cell>
          <cell r="B747" t="str">
            <v>MEYER</v>
          </cell>
          <cell r="C747" t="str">
            <v>ARIELLA</v>
          </cell>
          <cell r="D747">
            <v>34663</v>
          </cell>
          <cell r="E747">
            <v>19.770020533880903</v>
          </cell>
        </row>
        <row r="748">
          <cell r="A748">
            <v>149061</v>
          </cell>
          <cell r="B748" t="str">
            <v>ABELESZ</v>
          </cell>
          <cell r="C748" t="str">
            <v>LEAH</v>
          </cell>
          <cell r="D748">
            <v>34661</v>
          </cell>
          <cell r="E748">
            <v>19.775496235455169</v>
          </cell>
        </row>
        <row r="749">
          <cell r="A749">
            <v>17367</v>
          </cell>
          <cell r="B749" t="str">
            <v>SUPASIANG-GRIEVES</v>
          </cell>
          <cell r="C749" t="str">
            <v>HARRY</v>
          </cell>
          <cell r="D749">
            <v>34642</v>
          </cell>
          <cell r="E749">
            <v>19.827515400410679</v>
          </cell>
        </row>
        <row r="750">
          <cell r="A750">
            <v>28907</v>
          </cell>
          <cell r="B750" t="str">
            <v>LE DAIN</v>
          </cell>
          <cell r="C750" t="str">
            <v>JAMES</v>
          </cell>
          <cell r="D750">
            <v>34618</v>
          </cell>
          <cell r="E750">
            <v>19.893223819301848</v>
          </cell>
        </row>
        <row r="751">
          <cell r="A751">
            <v>34767</v>
          </cell>
          <cell r="B751" t="str">
            <v>SHAH</v>
          </cell>
          <cell r="C751" t="str">
            <v>NIRAV</v>
          </cell>
          <cell r="D751">
            <v>34615</v>
          </cell>
          <cell r="E751">
            <v>19.901437371663246</v>
          </cell>
        </row>
        <row r="752">
          <cell r="A752">
            <v>27368</v>
          </cell>
          <cell r="B752" t="str">
            <v>SPAUL</v>
          </cell>
          <cell r="C752" t="str">
            <v>CALLUM</v>
          </cell>
          <cell r="D752">
            <v>34601</v>
          </cell>
          <cell r="E752">
            <v>19.939767282683093</v>
          </cell>
        </row>
        <row r="753">
          <cell r="A753">
            <v>32273</v>
          </cell>
          <cell r="B753" t="str">
            <v>SIEFF</v>
          </cell>
          <cell r="C753" t="str">
            <v>JONATHAN</v>
          </cell>
          <cell r="D753">
            <v>34593</v>
          </cell>
          <cell r="E753">
            <v>19.961670088980149</v>
          </cell>
        </row>
        <row r="754">
          <cell r="A754">
            <v>21384</v>
          </cell>
          <cell r="B754" t="str">
            <v>KAO</v>
          </cell>
          <cell r="C754" t="str">
            <v>REECE</v>
          </cell>
          <cell r="D754">
            <v>34593</v>
          </cell>
          <cell r="E754">
            <v>19.961670088980149</v>
          </cell>
        </row>
        <row r="755">
          <cell r="A755">
            <v>17527</v>
          </cell>
          <cell r="B755" t="str">
            <v>SALIM-JAFFER</v>
          </cell>
          <cell r="C755" t="str">
            <v>ZAHRA</v>
          </cell>
          <cell r="D755">
            <v>34592</v>
          </cell>
          <cell r="E755">
            <v>19.964407939767284</v>
          </cell>
        </row>
        <row r="756">
          <cell r="A756">
            <v>15876</v>
          </cell>
          <cell r="B756" t="str">
            <v>PUGSLEY</v>
          </cell>
          <cell r="C756" t="str">
            <v>SCOTT</v>
          </cell>
          <cell r="D756">
            <v>34586</v>
          </cell>
          <cell r="E756">
            <v>19.980835044490075</v>
          </cell>
        </row>
        <row r="757">
          <cell r="A757">
            <v>155655</v>
          </cell>
          <cell r="B757" t="str">
            <v>TANG-MARTIN</v>
          </cell>
          <cell r="C757" t="str">
            <v>CARLOS</v>
          </cell>
          <cell r="D757">
            <v>34579</v>
          </cell>
          <cell r="E757">
            <v>20</v>
          </cell>
        </row>
        <row r="758">
          <cell r="A758">
            <v>19300</v>
          </cell>
          <cell r="B758" t="str">
            <v>HARRIMAN</v>
          </cell>
          <cell r="C758" t="str">
            <v>TERRY</v>
          </cell>
          <cell r="D758">
            <v>34564</v>
          </cell>
          <cell r="E758">
            <v>20.041067761806982</v>
          </cell>
        </row>
        <row r="759">
          <cell r="A759">
            <v>65066</v>
          </cell>
          <cell r="B759" t="str">
            <v>SIRETT</v>
          </cell>
          <cell r="C759" t="str">
            <v>JOHN</v>
          </cell>
          <cell r="D759">
            <v>34561</v>
          </cell>
          <cell r="E759">
            <v>20.049281314168379</v>
          </cell>
        </row>
        <row r="760">
          <cell r="A760">
            <v>17178</v>
          </cell>
          <cell r="B760" t="str">
            <v>EMAMI-SARAVI</v>
          </cell>
          <cell r="C760" t="str">
            <v>LEILA</v>
          </cell>
          <cell r="D760">
            <v>34559</v>
          </cell>
          <cell r="E760">
            <v>20.054757015742641</v>
          </cell>
        </row>
        <row r="761">
          <cell r="A761">
            <v>64996</v>
          </cell>
          <cell r="B761" t="str">
            <v>MUSKER</v>
          </cell>
          <cell r="C761" t="str">
            <v>BEN</v>
          </cell>
          <cell r="D761">
            <v>34546</v>
          </cell>
          <cell r="E761">
            <v>20.090349075975361</v>
          </cell>
        </row>
        <row r="762">
          <cell r="A762">
            <v>65343</v>
          </cell>
          <cell r="B762" t="str">
            <v>MICHAEL</v>
          </cell>
          <cell r="C762" t="str">
            <v>GREGORY PANTELLIS</v>
          </cell>
          <cell r="D762">
            <v>34542</v>
          </cell>
          <cell r="E762">
            <v>20.101300479123889</v>
          </cell>
        </row>
        <row r="763">
          <cell r="A763">
            <v>19894</v>
          </cell>
          <cell r="B763" t="str">
            <v>WHITE</v>
          </cell>
          <cell r="C763" t="str">
            <v>ELEANOR ANN</v>
          </cell>
          <cell r="D763">
            <v>34529</v>
          </cell>
          <cell r="E763">
            <v>20.136892539356605</v>
          </cell>
        </row>
        <row r="764">
          <cell r="A764">
            <v>29382</v>
          </cell>
          <cell r="B764" t="str">
            <v>BRENNAN</v>
          </cell>
          <cell r="C764" t="str">
            <v>CONOR</v>
          </cell>
          <cell r="D764">
            <v>34516</v>
          </cell>
          <cell r="E764">
            <v>20.172484599589321</v>
          </cell>
        </row>
        <row r="765">
          <cell r="A765">
            <v>8010</v>
          </cell>
          <cell r="B765" t="str">
            <v>DOBSON</v>
          </cell>
          <cell r="C765" t="str">
            <v>DENNIS</v>
          </cell>
          <cell r="D765">
            <v>34508</v>
          </cell>
          <cell r="E765">
            <v>20.194387405886378</v>
          </cell>
        </row>
        <row r="766">
          <cell r="A766">
            <v>34705</v>
          </cell>
          <cell r="B766" t="str">
            <v>PATEL</v>
          </cell>
          <cell r="C766" t="str">
            <v>MEERA</v>
          </cell>
          <cell r="D766">
            <v>34501</v>
          </cell>
          <cell r="E766">
            <v>20.213552361396303</v>
          </cell>
        </row>
        <row r="767">
          <cell r="A767">
            <v>66213</v>
          </cell>
          <cell r="B767" t="str">
            <v>HARRIS</v>
          </cell>
          <cell r="C767" t="str">
            <v>EDWARD</v>
          </cell>
          <cell r="D767">
            <v>34491</v>
          </cell>
          <cell r="E767">
            <v>20.240930869267626</v>
          </cell>
        </row>
        <row r="768">
          <cell r="A768">
            <v>65161</v>
          </cell>
          <cell r="B768" t="str">
            <v>GUNDLE</v>
          </cell>
          <cell r="C768" t="str">
            <v>ZACH</v>
          </cell>
          <cell r="D768">
            <v>34481</v>
          </cell>
          <cell r="E768">
            <v>20.268309377138944</v>
          </cell>
        </row>
        <row r="769">
          <cell r="A769">
            <v>30678</v>
          </cell>
          <cell r="B769" t="str">
            <v>FREEMAN</v>
          </cell>
          <cell r="C769" t="str">
            <v>YISROEL</v>
          </cell>
          <cell r="D769">
            <v>34469</v>
          </cell>
          <cell r="E769">
            <v>20.301163586584533</v>
          </cell>
        </row>
        <row r="770">
          <cell r="A770">
            <v>65274</v>
          </cell>
          <cell r="B770" t="str">
            <v>SAUL</v>
          </cell>
          <cell r="C770" t="str">
            <v>JORDAN</v>
          </cell>
          <cell r="D770">
            <v>34453</v>
          </cell>
          <cell r="E770">
            <v>20.344969199178646</v>
          </cell>
        </row>
        <row r="771">
          <cell r="A771">
            <v>38232</v>
          </cell>
          <cell r="B771" t="str">
            <v>ODUMODU</v>
          </cell>
          <cell r="C771" t="str">
            <v>ANTHONY</v>
          </cell>
          <cell r="D771">
            <v>34447</v>
          </cell>
          <cell r="E771">
            <v>20.361396303901437</v>
          </cell>
        </row>
        <row r="772">
          <cell r="A772">
            <v>17047</v>
          </cell>
          <cell r="B772" t="str">
            <v>THOMSON</v>
          </cell>
          <cell r="C772" t="str">
            <v>LEO</v>
          </cell>
          <cell r="D772">
            <v>34442</v>
          </cell>
          <cell r="E772">
            <v>20.3750855578371</v>
          </cell>
        </row>
        <row r="773">
          <cell r="A773">
            <v>4568</v>
          </cell>
          <cell r="B773" t="str">
            <v>GILL</v>
          </cell>
          <cell r="C773" t="str">
            <v>TIMOTHY</v>
          </cell>
          <cell r="D773">
            <v>34413</v>
          </cell>
          <cell r="E773">
            <v>20.454483230663929</v>
          </cell>
        </row>
        <row r="774">
          <cell r="A774">
            <v>65091</v>
          </cell>
          <cell r="B774" t="str">
            <v>KATZ</v>
          </cell>
          <cell r="C774" t="str">
            <v>SAMUEL</v>
          </cell>
          <cell r="D774">
            <v>34413</v>
          </cell>
          <cell r="E774">
            <v>20.454483230663929</v>
          </cell>
        </row>
        <row r="775">
          <cell r="A775">
            <v>65283</v>
          </cell>
          <cell r="B775" t="str">
            <v>HICKEY</v>
          </cell>
          <cell r="C775" t="str">
            <v>SIOBHAN</v>
          </cell>
          <cell r="D775">
            <v>34410</v>
          </cell>
          <cell r="E775">
            <v>20.462696783025326</v>
          </cell>
        </row>
        <row r="776">
          <cell r="A776">
            <v>17679</v>
          </cell>
          <cell r="B776" t="str">
            <v>O'LEARY</v>
          </cell>
          <cell r="C776" t="str">
            <v>KATHLEEEN</v>
          </cell>
          <cell r="D776">
            <v>34408</v>
          </cell>
          <cell r="E776">
            <v>20.468172484599588</v>
          </cell>
        </row>
        <row r="777">
          <cell r="A777">
            <v>8427</v>
          </cell>
          <cell r="B777" t="str">
            <v>WAKEFIELD</v>
          </cell>
          <cell r="C777" t="str">
            <v>JOHN</v>
          </cell>
          <cell r="D777">
            <v>34402</v>
          </cell>
          <cell r="E777">
            <v>20.484599589322382</v>
          </cell>
        </row>
        <row r="778">
          <cell r="A778">
            <v>195800</v>
          </cell>
          <cell r="B778" t="str">
            <v>BAILEY</v>
          </cell>
          <cell r="C778" t="str">
            <v>SHAQUILLE</v>
          </cell>
          <cell r="D778">
            <v>34397</v>
          </cell>
          <cell r="E778">
            <v>20.498288843258042</v>
          </cell>
        </row>
        <row r="779">
          <cell r="A779">
            <v>28104</v>
          </cell>
          <cell r="B779" t="str">
            <v>LOXLEY-BLOUNT</v>
          </cell>
          <cell r="C779" t="str">
            <v>HELEN</v>
          </cell>
          <cell r="D779">
            <v>34396</v>
          </cell>
          <cell r="E779">
            <v>20.501026694045173</v>
          </cell>
        </row>
        <row r="780">
          <cell r="A780">
            <v>26606</v>
          </cell>
          <cell r="B780" t="str">
            <v>DAVIDSON</v>
          </cell>
          <cell r="C780" t="str">
            <v>ESTHER</v>
          </cell>
          <cell r="D780">
            <v>34394</v>
          </cell>
          <cell r="E780">
            <v>20.506502395619439</v>
          </cell>
        </row>
        <row r="781">
          <cell r="A781">
            <v>40306</v>
          </cell>
          <cell r="B781" t="str">
            <v>BROWN</v>
          </cell>
          <cell r="C781" t="str">
            <v>LOUISE</v>
          </cell>
          <cell r="D781">
            <v>34387</v>
          </cell>
          <cell r="E781">
            <v>20.525667351129364</v>
          </cell>
        </row>
        <row r="782">
          <cell r="A782">
            <v>26787</v>
          </cell>
          <cell r="B782" t="str">
            <v>ORZEL</v>
          </cell>
          <cell r="C782" t="str">
            <v>MIRI</v>
          </cell>
          <cell r="D782">
            <v>34356</v>
          </cell>
          <cell r="E782">
            <v>20.610540725530459</v>
          </cell>
        </row>
        <row r="783">
          <cell r="A783">
            <v>197493</v>
          </cell>
          <cell r="B783" t="str">
            <v>BROWN</v>
          </cell>
          <cell r="C783" t="str">
            <v>JAMAL</v>
          </cell>
          <cell r="D783">
            <v>34342</v>
          </cell>
          <cell r="E783">
            <v>20.648870636550306</v>
          </cell>
        </row>
        <row r="784">
          <cell r="A784">
            <v>26528</v>
          </cell>
          <cell r="B784" t="str">
            <v>WEISBART</v>
          </cell>
          <cell r="C784" t="str">
            <v>ARON</v>
          </cell>
          <cell r="D784">
            <v>34339</v>
          </cell>
          <cell r="E784">
            <v>20.657084188911703</v>
          </cell>
        </row>
        <row r="785">
          <cell r="A785">
            <v>65339</v>
          </cell>
          <cell r="B785" t="str">
            <v>ABDIKANI</v>
          </cell>
          <cell r="C785" t="str">
            <v>MOHAMMED</v>
          </cell>
          <cell r="D785">
            <v>34337</v>
          </cell>
          <cell r="E785">
            <v>20.662559890485969</v>
          </cell>
        </row>
        <row r="786">
          <cell r="A786">
            <v>22336</v>
          </cell>
          <cell r="B786" t="str">
            <v>WELLE</v>
          </cell>
          <cell r="C786" t="str">
            <v>ZAHRA</v>
          </cell>
          <cell r="D786">
            <v>34320</v>
          </cell>
          <cell r="E786">
            <v>20.709103353867214</v>
          </cell>
        </row>
        <row r="787">
          <cell r="A787">
            <v>16500</v>
          </cell>
          <cell r="B787" t="str">
            <v>TROBER</v>
          </cell>
          <cell r="C787" t="str">
            <v>JOSHUA</v>
          </cell>
          <cell r="D787">
            <v>34314</v>
          </cell>
          <cell r="E787">
            <v>20.725530458590008</v>
          </cell>
        </row>
        <row r="788">
          <cell r="A788">
            <v>65350</v>
          </cell>
          <cell r="B788" t="str">
            <v>CHODOSH</v>
          </cell>
          <cell r="C788" t="str">
            <v>JAKE JOSEPH LEE</v>
          </cell>
          <cell r="D788">
            <v>34312</v>
          </cell>
          <cell r="E788">
            <v>20.73100616016427</v>
          </cell>
        </row>
        <row r="789">
          <cell r="A789">
            <v>66031</v>
          </cell>
          <cell r="B789" t="str">
            <v>LAIGEE-BANIASAD</v>
          </cell>
          <cell r="C789" t="str">
            <v>ASHNI</v>
          </cell>
          <cell r="D789">
            <v>34310</v>
          </cell>
          <cell r="E789">
            <v>20.736481861738536</v>
          </cell>
        </row>
        <row r="790">
          <cell r="A790">
            <v>65287</v>
          </cell>
          <cell r="B790" t="str">
            <v>THOMAS</v>
          </cell>
          <cell r="C790" t="str">
            <v>OSCAR</v>
          </cell>
          <cell r="D790">
            <v>34299</v>
          </cell>
          <cell r="E790">
            <v>20.76659822039699</v>
          </cell>
        </row>
        <row r="791">
          <cell r="A791">
            <v>195563</v>
          </cell>
          <cell r="B791" t="str">
            <v>MAPETJA</v>
          </cell>
          <cell r="C791" t="str">
            <v>LIAKO</v>
          </cell>
          <cell r="D791">
            <v>34289</v>
          </cell>
          <cell r="E791">
            <v>20.793976728268309</v>
          </cell>
        </row>
        <row r="792">
          <cell r="A792">
            <v>39634</v>
          </cell>
          <cell r="B792" t="str">
            <v>SIMMONDS-ROSTEN</v>
          </cell>
          <cell r="C792" t="str">
            <v>YOSEF</v>
          </cell>
          <cell r="D792">
            <v>34242</v>
          </cell>
          <cell r="E792">
            <v>20.922655715263517</v>
          </cell>
        </row>
        <row r="793">
          <cell r="A793">
            <v>64892</v>
          </cell>
          <cell r="B793" t="str">
            <v>LEWIS</v>
          </cell>
          <cell r="C793" t="str">
            <v>TAMARA</v>
          </cell>
          <cell r="D793">
            <v>34241</v>
          </cell>
          <cell r="E793">
            <v>20.925393566050651</v>
          </cell>
        </row>
        <row r="794">
          <cell r="A794">
            <v>21106</v>
          </cell>
          <cell r="B794" t="str">
            <v>HELE</v>
          </cell>
          <cell r="C794" t="str">
            <v>PACE YIN-ZI</v>
          </cell>
          <cell r="D794">
            <v>34214</v>
          </cell>
          <cell r="E794">
            <v>20.999315537303218</v>
          </cell>
        </row>
        <row r="795">
          <cell r="A795">
            <v>17483</v>
          </cell>
          <cell r="B795" t="str">
            <v>LUISI</v>
          </cell>
          <cell r="C795" t="str">
            <v>GIANLUCA</v>
          </cell>
          <cell r="D795">
            <v>34209</v>
          </cell>
          <cell r="E795">
            <v>21.013004791238878</v>
          </cell>
        </row>
        <row r="796">
          <cell r="A796">
            <v>65285</v>
          </cell>
          <cell r="B796" t="str">
            <v>KUSZER</v>
          </cell>
          <cell r="C796" t="str">
            <v>LIEBLE</v>
          </cell>
          <cell r="D796">
            <v>34196</v>
          </cell>
          <cell r="E796">
            <v>21.048596851471594</v>
          </cell>
        </row>
        <row r="797">
          <cell r="A797">
            <v>4545</v>
          </cell>
          <cell r="B797" t="str">
            <v>KERR</v>
          </cell>
          <cell r="C797" t="str">
            <v>BOBBY</v>
          </cell>
          <cell r="D797">
            <v>34185</v>
          </cell>
          <cell r="E797">
            <v>21.078713210130047</v>
          </cell>
        </row>
        <row r="798">
          <cell r="A798">
            <v>65140</v>
          </cell>
          <cell r="B798" t="str">
            <v>FELDMAN</v>
          </cell>
          <cell r="C798" t="str">
            <v>GOLDA</v>
          </cell>
          <cell r="D798">
            <v>34179</v>
          </cell>
          <cell r="E798">
            <v>21.095140314852841</v>
          </cell>
        </row>
        <row r="799">
          <cell r="A799">
            <v>65102</v>
          </cell>
          <cell r="B799" t="str">
            <v>Hillary-Lesquerre</v>
          </cell>
          <cell r="C799" t="str">
            <v>QUENTIN</v>
          </cell>
          <cell r="D799">
            <v>34152</v>
          </cell>
          <cell r="E799">
            <v>21.169062286105408</v>
          </cell>
        </row>
        <row r="800">
          <cell r="A800">
            <v>52101</v>
          </cell>
          <cell r="B800" t="str">
            <v>KNIGHT</v>
          </cell>
          <cell r="C800" t="str">
            <v>RUTH ELLEN</v>
          </cell>
          <cell r="D800">
            <v>34138</v>
          </cell>
          <cell r="E800">
            <v>21.207392197125255</v>
          </cell>
        </row>
        <row r="801">
          <cell r="A801">
            <v>65062</v>
          </cell>
          <cell r="B801" t="str">
            <v>LOCK</v>
          </cell>
          <cell r="C801" t="str">
            <v>FREDDIE</v>
          </cell>
          <cell r="D801">
            <v>34106</v>
          </cell>
          <cell r="E801">
            <v>21.295003422313485</v>
          </cell>
        </row>
        <row r="802">
          <cell r="A802">
            <v>17222</v>
          </cell>
          <cell r="B802" t="str">
            <v>HOLLINGBERY</v>
          </cell>
          <cell r="C802" t="str">
            <v>CONAN</v>
          </cell>
          <cell r="D802">
            <v>34105</v>
          </cell>
          <cell r="E802">
            <v>21.297741273100616</v>
          </cell>
        </row>
        <row r="803">
          <cell r="A803">
            <v>145525</v>
          </cell>
          <cell r="B803" t="str">
            <v>LANGOWSKA</v>
          </cell>
          <cell r="C803" t="str">
            <v>KAROLINA</v>
          </cell>
          <cell r="D803">
            <v>34105</v>
          </cell>
          <cell r="E803">
            <v>21.297741273100616</v>
          </cell>
        </row>
        <row r="804">
          <cell r="A804">
            <v>170618</v>
          </cell>
          <cell r="B804" t="str">
            <v>PARKER</v>
          </cell>
          <cell r="C804" t="str">
            <v>TAMSIN</v>
          </cell>
          <cell r="D804">
            <v>34087</v>
          </cell>
          <cell r="E804">
            <v>21.347022587268995</v>
          </cell>
        </row>
        <row r="805">
          <cell r="A805">
            <v>65248</v>
          </cell>
          <cell r="B805" t="str">
            <v>BRONSON</v>
          </cell>
          <cell r="C805" t="str">
            <v>BRADLEY</v>
          </cell>
          <cell r="D805">
            <v>34084</v>
          </cell>
          <cell r="E805">
            <v>21.355236139630389</v>
          </cell>
        </row>
        <row r="806">
          <cell r="A806">
            <v>21362</v>
          </cell>
          <cell r="B806" t="str">
            <v>FRANCIS</v>
          </cell>
          <cell r="C806" t="str">
            <v>SAM</v>
          </cell>
          <cell r="D806">
            <v>34074</v>
          </cell>
          <cell r="E806">
            <v>21.382614647501711</v>
          </cell>
        </row>
        <row r="807">
          <cell r="A807">
            <v>72333</v>
          </cell>
          <cell r="B807" t="str">
            <v>MBETOLO</v>
          </cell>
          <cell r="C807" t="str">
            <v>HILDA</v>
          </cell>
          <cell r="D807">
            <v>34068</v>
          </cell>
          <cell r="E807">
            <v>21.399041752224505</v>
          </cell>
        </row>
        <row r="808">
          <cell r="A808">
            <v>36050</v>
          </cell>
          <cell r="B808" t="str">
            <v>KRAVETZ</v>
          </cell>
          <cell r="C808" t="str">
            <v>DANIEL</v>
          </cell>
          <cell r="D808">
            <v>34055</v>
          </cell>
          <cell r="E808">
            <v>21.434633812457221</v>
          </cell>
        </row>
        <row r="809">
          <cell r="A809">
            <v>64986</v>
          </cell>
          <cell r="B809" t="str">
            <v>HARRIS</v>
          </cell>
          <cell r="C809" t="str">
            <v>STEPHANIE</v>
          </cell>
          <cell r="D809">
            <v>34038</v>
          </cell>
          <cell r="E809">
            <v>21.481177275838466</v>
          </cell>
        </row>
        <row r="810">
          <cell r="A810">
            <v>65150</v>
          </cell>
          <cell r="B810" t="str">
            <v>WEBSTER</v>
          </cell>
          <cell r="C810" t="str">
            <v>OLIVER</v>
          </cell>
          <cell r="D810">
            <v>34038</v>
          </cell>
          <cell r="E810">
            <v>21.481177275838466</v>
          </cell>
        </row>
        <row r="811">
          <cell r="A811">
            <v>65198</v>
          </cell>
          <cell r="B811" t="str">
            <v>KLEINMAN</v>
          </cell>
          <cell r="C811" t="str">
            <v>JOSHUA TOBY</v>
          </cell>
          <cell r="D811">
            <v>34030</v>
          </cell>
          <cell r="E811">
            <v>21.503080082135522</v>
          </cell>
        </row>
        <row r="812">
          <cell r="A812">
            <v>66174</v>
          </cell>
          <cell r="B812" t="str">
            <v>O'DONNELL</v>
          </cell>
          <cell r="C812" t="str">
            <v>CHRISTOPHER</v>
          </cell>
          <cell r="D812">
            <v>33958</v>
          </cell>
          <cell r="E812">
            <v>21.700205338809035</v>
          </cell>
        </row>
        <row r="813">
          <cell r="A813">
            <v>65289</v>
          </cell>
          <cell r="B813" t="str">
            <v>HAZIZA</v>
          </cell>
          <cell r="C813" t="str">
            <v>AMIR</v>
          </cell>
          <cell r="D813">
            <v>33945</v>
          </cell>
          <cell r="E813">
            <v>21.735797399041751</v>
          </cell>
        </row>
        <row r="814">
          <cell r="A814">
            <v>146149</v>
          </cell>
          <cell r="B814" t="str">
            <v>BLOOM</v>
          </cell>
          <cell r="C814" t="str">
            <v>ASHLEY</v>
          </cell>
          <cell r="D814">
            <v>33911</v>
          </cell>
          <cell r="E814">
            <v>21.828884325804243</v>
          </cell>
        </row>
        <row r="815">
          <cell r="A815">
            <v>189782</v>
          </cell>
          <cell r="B815" t="str">
            <v>COHEN</v>
          </cell>
          <cell r="C815" t="str">
            <v>MAI</v>
          </cell>
          <cell r="D815">
            <v>33903</v>
          </cell>
          <cell r="E815">
            <v>21.850787132101299</v>
          </cell>
        </row>
        <row r="816">
          <cell r="A816">
            <v>65298</v>
          </cell>
          <cell r="B816" t="str">
            <v>AHMED</v>
          </cell>
          <cell r="C816" t="str">
            <v>TASLIM</v>
          </cell>
          <cell r="D816">
            <v>33901</v>
          </cell>
          <cell r="E816">
            <v>21.856262833675565</v>
          </cell>
        </row>
        <row r="817">
          <cell r="A817">
            <v>66204</v>
          </cell>
          <cell r="B817" t="str">
            <v>GARDINER</v>
          </cell>
          <cell r="C817" t="str">
            <v>STUART</v>
          </cell>
          <cell r="D817">
            <v>33894</v>
          </cell>
          <cell r="E817">
            <v>21.87542778918549</v>
          </cell>
        </row>
        <row r="818">
          <cell r="A818">
            <v>19610</v>
          </cell>
          <cell r="B818" t="str">
            <v>QUAZI</v>
          </cell>
          <cell r="C818" t="str">
            <v>HAARON</v>
          </cell>
          <cell r="D818">
            <v>33892</v>
          </cell>
          <cell r="E818">
            <v>21.880903490759753</v>
          </cell>
        </row>
        <row r="819">
          <cell r="A819">
            <v>52437</v>
          </cell>
          <cell r="B819" t="str">
            <v>SOLOMONS</v>
          </cell>
          <cell r="C819" t="str">
            <v>LOUIS ISRAEL</v>
          </cell>
          <cell r="D819">
            <v>33889</v>
          </cell>
          <cell r="E819">
            <v>21.88911704312115</v>
          </cell>
        </row>
        <row r="820">
          <cell r="A820">
            <v>23180</v>
          </cell>
          <cell r="B820" t="str">
            <v>LEMER</v>
          </cell>
          <cell r="C820" t="str">
            <v>DANIEL</v>
          </cell>
          <cell r="D820">
            <v>33883</v>
          </cell>
          <cell r="E820">
            <v>21.905544147843944</v>
          </cell>
        </row>
        <row r="821">
          <cell r="A821">
            <v>17329</v>
          </cell>
          <cell r="B821" t="str">
            <v>RANTELL</v>
          </cell>
          <cell r="C821" t="str">
            <v>GREGORY</v>
          </cell>
          <cell r="D821">
            <v>33880</v>
          </cell>
          <cell r="E821">
            <v>21.913757700205338</v>
          </cell>
        </row>
        <row r="822">
          <cell r="A822">
            <v>65240</v>
          </cell>
          <cell r="B822" t="str">
            <v>GROSZMAN</v>
          </cell>
          <cell r="C822" t="str">
            <v>MICHELLE</v>
          </cell>
          <cell r="D822">
            <v>33874</v>
          </cell>
          <cell r="E822">
            <v>21.930184804928132</v>
          </cell>
        </row>
        <row r="823">
          <cell r="A823">
            <v>172555</v>
          </cell>
          <cell r="B823" t="str">
            <v>MUTANGILAYI</v>
          </cell>
          <cell r="C823" t="str">
            <v>MARRIE-JEANNE</v>
          </cell>
          <cell r="D823">
            <v>33831</v>
          </cell>
          <cell r="E823">
            <v>22.047912388774812</v>
          </cell>
        </row>
        <row r="824">
          <cell r="A824">
            <v>64989</v>
          </cell>
          <cell r="B824" t="str">
            <v>VARIAN</v>
          </cell>
          <cell r="C824" t="str">
            <v>TIMOTHY</v>
          </cell>
          <cell r="D824">
            <v>33829</v>
          </cell>
          <cell r="E824">
            <v>22.053388090349078</v>
          </cell>
        </row>
        <row r="825">
          <cell r="A825">
            <v>18126</v>
          </cell>
          <cell r="B825" t="str">
            <v>DANN</v>
          </cell>
          <cell r="C825" t="str">
            <v>ALEXANDER</v>
          </cell>
          <cell r="D825">
            <v>33820</v>
          </cell>
          <cell r="E825">
            <v>22.078028747433265</v>
          </cell>
        </row>
        <row r="826">
          <cell r="A826">
            <v>53046</v>
          </cell>
          <cell r="B826" t="str">
            <v>MORRIS</v>
          </cell>
          <cell r="C826" t="str">
            <v>SHANI</v>
          </cell>
          <cell r="D826">
            <v>33765</v>
          </cell>
          <cell r="E826">
            <v>22.22861054072553</v>
          </cell>
        </row>
        <row r="827">
          <cell r="A827">
            <v>51131</v>
          </cell>
          <cell r="B827" t="str">
            <v>SHAIHK</v>
          </cell>
          <cell r="C827" t="str">
            <v>IMRAN</v>
          </cell>
          <cell r="D827">
            <v>33751</v>
          </cell>
          <cell r="E827">
            <v>22.266940451745381</v>
          </cell>
        </row>
        <row r="828">
          <cell r="A828">
            <v>65332</v>
          </cell>
          <cell r="B828" t="str">
            <v>FITZGERALD</v>
          </cell>
          <cell r="C828" t="str">
            <v>RHIANNA</v>
          </cell>
          <cell r="D828">
            <v>33750</v>
          </cell>
          <cell r="E828">
            <v>22.269678302532512</v>
          </cell>
        </row>
        <row r="829">
          <cell r="A829">
            <v>51120</v>
          </cell>
          <cell r="B829" t="str">
            <v>PEART</v>
          </cell>
          <cell r="C829" t="str">
            <v>SASAN</v>
          </cell>
          <cell r="D829">
            <v>33714</v>
          </cell>
          <cell r="E829">
            <v>22.368240930869266</v>
          </cell>
        </row>
        <row r="830">
          <cell r="A830">
            <v>52100</v>
          </cell>
          <cell r="B830" t="str">
            <v>KING</v>
          </cell>
          <cell r="C830" t="str">
            <v>ADAM</v>
          </cell>
          <cell r="D830">
            <v>33694</v>
          </cell>
          <cell r="E830">
            <v>22.422997946611911</v>
          </cell>
        </row>
        <row r="831">
          <cell r="A831">
            <v>52083</v>
          </cell>
          <cell r="B831" t="str">
            <v>BURGESS</v>
          </cell>
          <cell r="C831" t="str">
            <v>IEUAN</v>
          </cell>
          <cell r="D831">
            <v>33693</v>
          </cell>
          <cell r="E831">
            <v>22.425735797399042</v>
          </cell>
        </row>
        <row r="832">
          <cell r="A832">
            <v>64942</v>
          </cell>
          <cell r="B832" t="str">
            <v>FARREN</v>
          </cell>
          <cell r="C832" t="str">
            <v>WILLIAM</v>
          </cell>
          <cell r="D832">
            <v>33688</v>
          </cell>
          <cell r="E832">
            <v>22.439425051334702</v>
          </cell>
        </row>
        <row r="833">
          <cell r="A833">
            <v>64921</v>
          </cell>
          <cell r="B833" t="str">
            <v>PERVOE</v>
          </cell>
          <cell r="C833" t="str">
            <v>JAMES</v>
          </cell>
          <cell r="D833">
            <v>33644</v>
          </cell>
          <cell r="E833">
            <v>22.559890485968516</v>
          </cell>
        </row>
        <row r="834">
          <cell r="A834">
            <v>65216</v>
          </cell>
          <cell r="B834" t="str">
            <v>CORKER</v>
          </cell>
          <cell r="C834" t="str">
            <v>KATHERINE</v>
          </cell>
          <cell r="D834">
            <v>33618</v>
          </cell>
          <cell r="E834">
            <v>22.631074606433948</v>
          </cell>
        </row>
        <row r="835">
          <cell r="A835">
            <v>65011</v>
          </cell>
          <cell r="B835" t="str">
            <v>HAMID</v>
          </cell>
          <cell r="C835" t="str">
            <v>ZARA</v>
          </cell>
          <cell r="D835">
            <v>33611</v>
          </cell>
          <cell r="E835">
            <v>22.650239561943874</v>
          </cell>
        </row>
        <row r="836">
          <cell r="A836">
            <v>64919</v>
          </cell>
          <cell r="B836" t="str">
            <v>WELLER</v>
          </cell>
          <cell r="C836" t="str">
            <v>JAMES</v>
          </cell>
          <cell r="D836">
            <v>33604</v>
          </cell>
          <cell r="E836">
            <v>22.669404517453799</v>
          </cell>
        </row>
        <row r="837">
          <cell r="A837">
            <v>65246</v>
          </cell>
          <cell r="B837" t="str">
            <v>RATNAM</v>
          </cell>
          <cell r="C837" t="str">
            <v>SAYON</v>
          </cell>
          <cell r="D837">
            <v>33587</v>
          </cell>
          <cell r="E837">
            <v>22.715947980835043</v>
          </cell>
        </row>
        <row r="838">
          <cell r="A838">
            <v>66178</v>
          </cell>
          <cell r="B838" t="str">
            <v>DONOVAN</v>
          </cell>
          <cell r="C838" t="str">
            <v>JAMES</v>
          </cell>
          <cell r="D838">
            <v>33571</v>
          </cell>
          <cell r="E838">
            <v>22.759753593429156</v>
          </cell>
        </row>
        <row r="839">
          <cell r="A839">
            <v>64859</v>
          </cell>
          <cell r="B839" t="str">
            <v>HAYMAN</v>
          </cell>
          <cell r="C839" t="str">
            <v>HEATHERLEIGH</v>
          </cell>
          <cell r="D839">
            <v>33565</v>
          </cell>
          <cell r="E839">
            <v>22.776180698151951</v>
          </cell>
        </row>
        <row r="840">
          <cell r="A840">
            <v>64933</v>
          </cell>
          <cell r="B840" t="str">
            <v>BRAY</v>
          </cell>
          <cell r="C840" t="str">
            <v>ETHAN</v>
          </cell>
          <cell r="D840">
            <v>33542</v>
          </cell>
          <cell r="E840">
            <v>22.839151266255989</v>
          </cell>
        </row>
        <row r="841">
          <cell r="A841">
            <v>65116</v>
          </cell>
          <cell r="B841" t="str">
            <v>SMER</v>
          </cell>
          <cell r="C841" t="str">
            <v>NICHOLAS</v>
          </cell>
          <cell r="D841">
            <v>33526</v>
          </cell>
          <cell r="E841">
            <v>22.882956878850102</v>
          </cell>
        </row>
        <row r="842">
          <cell r="A842">
            <v>134341</v>
          </cell>
          <cell r="B842" t="str">
            <v>EVANS-JEAN-BAPTISTE</v>
          </cell>
          <cell r="C842" t="str">
            <v>LUKE</v>
          </cell>
          <cell r="D842">
            <v>33504</v>
          </cell>
          <cell r="E842">
            <v>22.943189596167009</v>
          </cell>
        </row>
        <row r="843">
          <cell r="A843">
            <v>64935</v>
          </cell>
          <cell r="B843" t="str">
            <v>HOLLINGBERY</v>
          </cell>
          <cell r="C843" t="str">
            <v>RUFUS</v>
          </cell>
          <cell r="D843">
            <v>33504</v>
          </cell>
          <cell r="E843">
            <v>22.943189596167009</v>
          </cell>
        </row>
        <row r="844">
          <cell r="A844">
            <v>65331</v>
          </cell>
          <cell r="B844" t="str">
            <v>DE LANCE</v>
          </cell>
          <cell r="C844" t="str">
            <v>JARETH</v>
          </cell>
          <cell r="D844">
            <v>32849</v>
          </cell>
          <cell r="E844">
            <v>24.736481861738536</v>
          </cell>
        </row>
        <row r="845">
          <cell r="A845">
            <v>213993</v>
          </cell>
          <cell r="B845" t="str">
            <v>Kahaner</v>
          </cell>
          <cell r="C845" t="str">
            <v>Benjamin</v>
          </cell>
          <cell r="D845">
            <v>39488</v>
          </cell>
          <cell r="E845">
            <v>6.5598904859685145</v>
          </cell>
        </row>
        <row r="846">
          <cell r="A846">
            <v>72769</v>
          </cell>
          <cell r="B846" t="str">
            <v>KING</v>
          </cell>
          <cell r="C846" t="str">
            <v>Louie</v>
          </cell>
          <cell r="D846">
            <v>34879</v>
          </cell>
          <cell r="E846">
            <v>19.178644763860369</v>
          </cell>
        </row>
        <row r="847">
          <cell r="A847">
            <v>38610</v>
          </cell>
          <cell r="B847" t="str">
            <v>Holder</v>
          </cell>
          <cell r="C847" t="str">
            <v>Asher</v>
          </cell>
          <cell r="D847">
            <v>35961</v>
          </cell>
          <cell r="E847">
            <v>16.216290212183434</v>
          </cell>
        </row>
        <row r="848">
          <cell r="A848">
            <v>73690</v>
          </cell>
          <cell r="B848" t="str">
            <v>Gardner</v>
          </cell>
          <cell r="C848" t="str">
            <v>Joel</v>
          </cell>
          <cell r="D848">
            <v>37315</v>
          </cell>
          <cell r="E848">
            <v>12.509240246406572</v>
          </cell>
        </row>
        <row r="849">
          <cell r="A849">
            <v>74831</v>
          </cell>
          <cell r="B849" t="str">
            <v>Rosenfeld</v>
          </cell>
          <cell r="C849" t="str">
            <v>Gavriel</v>
          </cell>
          <cell r="D849">
            <v>37257</v>
          </cell>
          <cell r="E849">
            <v>12.668035592060233</v>
          </cell>
        </row>
        <row r="850">
          <cell r="A850">
            <v>151993</v>
          </cell>
          <cell r="B850" t="str">
            <v>Kay</v>
          </cell>
          <cell r="C850" t="str">
            <v>Saskia</v>
          </cell>
          <cell r="D850">
            <v>38443</v>
          </cell>
          <cell r="E850">
            <v>9.4209445585215601</v>
          </cell>
        </row>
        <row r="851">
          <cell r="A851">
            <v>172590</v>
          </cell>
          <cell r="B851" t="str">
            <v>Lowe</v>
          </cell>
          <cell r="C851" t="str">
            <v>Leon</v>
          </cell>
          <cell r="D851">
            <v>35965</v>
          </cell>
          <cell r="E851">
            <v>16.205338809034906</v>
          </cell>
        </row>
        <row r="852">
          <cell r="A852">
            <v>243763</v>
          </cell>
          <cell r="B852" t="str">
            <v>Blaker</v>
          </cell>
          <cell r="C852" t="str">
            <v>Simcha</v>
          </cell>
          <cell r="D852">
            <v>39368</v>
          </cell>
          <cell r="E852">
            <v>6.8884325804243671</v>
          </cell>
        </row>
        <row r="853">
          <cell r="A853">
            <v>285586</v>
          </cell>
          <cell r="B853" t="str">
            <v>Mohammed</v>
          </cell>
          <cell r="C853" t="str">
            <v>Sahil</v>
          </cell>
          <cell r="D853">
            <v>38434</v>
          </cell>
          <cell r="E853">
            <v>9.4455852156057496</v>
          </cell>
        </row>
        <row r="854">
          <cell r="A854">
            <v>290486</v>
          </cell>
          <cell r="B854" t="str">
            <v>Al-Gobory</v>
          </cell>
          <cell r="C854" t="str">
            <v>Laith</v>
          </cell>
          <cell r="D854">
            <v>38638</v>
          </cell>
          <cell r="E854">
            <v>8.8870636550308006</v>
          </cell>
        </row>
        <row r="855">
          <cell r="A855">
            <v>316271</v>
          </cell>
          <cell r="B855" t="str">
            <v>Jones</v>
          </cell>
          <cell r="C855" t="str">
            <v>Nadine</v>
          </cell>
          <cell r="D855">
            <v>38689</v>
          </cell>
          <cell r="E855">
            <v>8.7474332648870643</v>
          </cell>
        </row>
        <row r="856">
          <cell r="A856">
            <v>21105</v>
          </cell>
          <cell r="B856" t="str">
            <v>Hele</v>
          </cell>
          <cell r="C856" t="str">
            <v>Lauren</v>
          </cell>
          <cell r="D856">
            <v>35373</v>
          </cell>
          <cell r="E856">
            <v>17.826146475017111</v>
          </cell>
        </row>
        <row r="857">
          <cell r="A857">
            <v>310317</v>
          </cell>
          <cell r="B857" t="str">
            <v>Ismaili-Idrissi</v>
          </cell>
          <cell r="C857" t="str">
            <v>Amin</v>
          </cell>
          <cell r="D857">
            <v>38995</v>
          </cell>
          <cell r="E857">
            <v>7.9096509240246409</v>
          </cell>
        </row>
        <row r="858">
          <cell r="A858">
            <v>316271</v>
          </cell>
          <cell r="B858" t="str">
            <v>Jones</v>
          </cell>
          <cell r="C858" t="str">
            <v>Nadine</v>
          </cell>
          <cell r="D858">
            <v>38689</v>
          </cell>
          <cell r="E858">
            <v>8.7474332648870643</v>
          </cell>
        </row>
        <row r="859">
          <cell r="A859">
            <v>271210</v>
          </cell>
          <cell r="B859" t="str">
            <v>Matiny-Boroumand</v>
          </cell>
          <cell r="C859" t="str">
            <v>Pouya</v>
          </cell>
          <cell r="D859">
            <v>39440</v>
          </cell>
          <cell r="E859">
            <v>6.6913073237508556</v>
          </cell>
        </row>
        <row r="860">
          <cell r="A860">
            <v>285586</v>
          </cell>
          <cell r="B860" t="str">
            <v>Mohammed</v>
          </cell>
          <cell r="C860" t="str">
            <v>Sahil</v>
          </cell>
          <cell r="D860">
            <v>38434</v>
          </cell>
          <cell r="E860">
            <v>9.4455852156057496</v>
          </cell>
        </row>
        <row r="861">
          <cell r="A861">
            <v>245484</v>
          </cell>
          <cell r="B861" t="str">
            <v>Redland</v>
          </cell>
          <cell r="C861" t="str">
            <v>Zachary</v>
          </cell>
          <cell r="D861">
            <v>39335</v>
          </cell>
          <cell r="E861">
            <v>6.9787816563997263</v>
          </cell>
        </row>
        <row r="862">
          <cell r="A862">
            <v>65319</v>
          </cell>
          <cell r="B862" t="str">
            <v>Singh</v>
          </cell>
          <cell r="C862" t="str">
            <v>Anurita</v>
          </cell>
          <cell r="D862">
            <v>37321</v>
          </cell>
          <cell r="E862">
            <v>12.492813141683778</v>
          </cell>
        </row>
        <row r="863">
          <cell r="A863">
            <v>269429</v>
          </cell>
          <cell r="B863" t="str">
            <v>Summers</v>
          </cell>
          <cell r="C863" t="str">
            <v>Dean</v>
          </cell>
          <cell r="D863">
            <v>36805</v>
          </cell>
          <cell r="E863">
            <v>13.905544147843942</v>
          </cell>
        </row>
        <row r="864">
          <cell r="A864">
            <v>202579</v>
          </cell>
          <cell r="B864" t="str">
            <v>Tulip-Parkin</v>
          </cell>
          <cell r="C864" t="str">
            <v>Sydney</v>
          </cell>
          <cell r="D864">
            <v>36736</v>
          </cell>
          <cell r="E864">
            <v>14.094455852156058</v>
          </cell>
        </row>
        <row r="865">
          <cell r="A865">
            <v>299503</v>
          </cell>
          <cell r="B865" t="str">
            <v>Cutler</v>
          </cell>
          <cell r="C865" t="str">
            <v>Ruel</v>
          </cell>
          <cell r="D865">
            <v>36527</v>
          </cell>
          <cell r="E865">
            <v>14.666666666666666</v>
          </cell>
        </row>
        <row r="866">
          <cell r="A866">
            <v>202307</v>
          </cell>
          <cell r="B866" t="str">
            <v>De Leon</v>
          </cell>
          <cell r="C866" t="str">
            <v>Jason</v>
          </cell>
          <cell r="D866">
            <v>36624</v>
          </cell>
          <cell r="E866">
            <v>14.401095140314853</v>
          </cell>
        </row>
        <row r="867">
          <cell r="A867">
            <v>36319</v>
          </cell>
          <cell r="B867" t="str">
            <v>Adamson</v>
          </cell>
          <cell r="C867" t="str">
            <v>Jake</v>
          </cell>
          <cell r="D867">
            <v>36652</v>
          </cell>
          <cell r="E867">
            <v>14.324435318275153</v>
          </cell>
        </row>
        <row r="868">
          <cell r="A868">
            <v>64088</v>
          </cell>
          <cell r="B868" t="str">
            <v>Adjai</v>
          </cell>
          <cell r="C868" t="str">
            <v>Nathan</v>
          </cell>
          <cell r="D868">
            <v>36408</v>
          </cell>
          <cell r="E868">
            <v>14.992470910335387</v>
          </cell>
        </row>
        <row r="869">
          <cell r="A869">
            <v>296632</v>
          </cell>
          <cell r="B869" t="str">
            <v>Badiudeen</v>
          </cell>
          <cell r="C869" t="str">
            <v>Madheeha</v>
          </cell>
          <cell r="D869">
            <v>40577</v>
          </cell>
          <cell r="E869">
            <v>3.5783709787816562</v>
          </cell>
        </row>
        <row r="870">
          <cell r="A870">
            <v>299839</v>
          </cell>
          <cell r="B870" t="str">
            <v>Rubinoff</v>
          </cell>
          <cell r="C870" t="str">
            <v>Evie</v>
          </cell>
          <cell r="D870">
            <v>40462</v>
          </cell>
          <cell r="E870">
            <v>3.893223819301848</v>
          </cell>
        </row>
        <row r="871">
          <cell r="A871">
            <v>243636</v>
          </cell>
          <cell r="B871" t="str">
            <v>Abubakar</v>
          </cell>
          <cell r="C871" t="str">
            <v>Fatma</v>
          </cell>
          <cell r="D871">
            <v>40060</v>
          </cell>
          <cell r="E871">
            <v>4.9938398357289531</v>
          </cell>
        </row>
        <row r="872">
          <cell r="A872">
            <v>299137</v>
          </cell>
          <cell r="B872" t="str">
            <v>Dabica</v>
          </cell>
          <cell r="C872" t="str">
            <v>Ioan</v>
          </cell>
          <cell r="D872">
            <v>40197</v>
          </cell>
          <cell r="E872">
            <v>4.6187542778918553</v>
          </cell>
        </row>
        <row r="873">
          <cell r="A873">
            <v>108346</v>
          </cell>
          <cell r="B873" t="str">
            <v>Easton</v>
          </cell>
          <cell r="C873" t="str">
            <v>Noah</v>
          </cell>
          <cell r="D873">
            <v>37637</v>
          </cell>
          <cell r="E873">
            <v>11.627652292950033</v>
          </cell>
        </row>
        <row r="874">
          <cell r="A874">
            <v>128447</v>
          </cell>
          <cell r="B874" t="str">
            <v>Prasad-Sapkota</v>
          </cell>
          <cell r="C874" t="str">
            <v>Dave</v>
          </cell>
          <cell r="D874">
            <v>37978</v>
          </cell>
          <cell r="E874">
            <v>10.694045174537989</v>
          </cell>
        </row>
        <row r="875">
          <cell r="A875">
            <v>246521</v>
          </cell>
          <cell r="B875" t="str">
            <v>Quintin</v>
          </cell>
          <cell r="C875" t="str">
            <v>Jack</v>
          </cell>
          <cell r="D875">
            <v>39643</v>
          </cell>
          <cell r="E875">
            <v>6.1355236139630387</v>
          </cell>
        </row>
        <row r="876">
          <cell r="A876">
            <v>297299</v>
          </cell>
          <cell r="B876" t="str">
            <v>Payne</v>
          </cell>
          <cell r="C876" t="str">
            <v>Aidon</v>
          </cell>
          <cell r="D876">
            <v>40348</v>
          </cell>
          <cell r="E876">
            <v>4.2053388090349078</v>
          </cell>
        </row>
        <row r="877">
          <cell r="A877">
            <v>300223</v>
          </cell>
          <cell r="B877" t="str">
            <v>Szafran</v>
          </cell>
          <cell r="C877" t="str">
            <v>Max</v>
          </cell>
          <cell r="D877">
            <v>40093</v>
          </cell>
          <cell r="E877">
            <v>4.9034907597535931</v>
          </cell>
        </row>
        <row r="878">
          <cell r="A878">
            <v>299290</v>
          </cell>
          <cell r="B878" t="str">
            <v>Rahimzad</v>
          </cell>
          <cell r="C878" t="str">
            <v>Benjamin</v>
          </cell>
          <cell r="D878">
            <v>40065</v>
          </cell>
          <cell r="E878">
            <v>4.9801505817932918</v>
          </cell>
        </row>
        <row r="879">
          <cell r="A879">
            <v>182741</v>
          </cell>
          <cell r="B879" t="str">
            <v>Habibzadeh</v>
          </cell>
          <cell r="C879" t="str">
            <v>Khorshid</v>
          </cell>
          <cell r="D879">
            <v>40093</v>
          </cell>
          <cell r="E879">
            <v>4.9034907597535931</v>
          </cell>
        </row>
        <row r="880">
          <cell r="A880">
            <v>275026</v>
          </cell>
          <cell r="B880" t="str">
            <v>Wallace</v>
          </cell>
          <cell r="C880" t="str">
            <v>Bobby</v>
          </cell>
          <cell r="D880">
            <v>40468</v>
          </cell>
          <cell r="E880">
            <v>3.8767967145790556</v>
          </cell>
        </row>
        <row r="881">
          <cell r="A881">
            <v>41630</v>
          </cell>
          <cell r="B881" t="str">
            <v>Meshioye</v>
          </cell>
          <cell r="C881" t="str">
            <v>Oluwarimike</v>
          </cell>
          <cell r="D881">
            <v>36877</v>
          </cell>
          <cell r="E881">
            <v>13.708418891170432</v>
          </cell>
        </row>
        <row r="882">
          <cell r="A882">
            <v>300480</v>
          </cell>
          <cell r="B882" t="str">
            <v>Munasinghe</v>
          </cell>
          <cell r="C882" t="str">
            <v>Arran</v>
          </cell>
          <cell r="D882">
            <v>40178</v>
          </cell>
          <cell r="E882">
            <v>4.6707734428473646</v>
          </cell>
        </row>
        <row r="883">
          <cell r="A883">
            <v>155836</v>
          </cell>
          <cell r="B883" t="str">
            <v>Latter</v>
          </cell>
          <cell r="C883" t="str">
            <v>Guy</v>
          </cell>
          <cell r="D883">
            <v>38539</v>
          </cell>
          <cell r="E883">
            <v>9.158110882956878</v>
          </cell>
        </row>
        <row r="884">
          <cell r="A884">
            <v>65826</v>
          </cell>
          <cell r="B884" t="str">
            <v>Barnes</v>
          </cell>
          <cell r="C884" t="str">
            <v>JORDAN</v>
          </cell>
          <cell r="D884">
            <v>37369</v>
          </cell>
          <cell r="E884">
            <v>12.361396303901437</v>
          </cell>
        </row>
        <row r="885">
          <cell r="A885">
            <v>38646</v>
          </cell>
          <cell r="B885" t="str">
            <v>Lovat</v>
          </cell>
          <cell r="C885" t="str">
            <v>Adina</v>
          </cell>
          <cell r="D885">
            <v>35179</v>
          </cell>
          <cell r="E885">
            <v>18.357289527720738</v>
          </cell>
        </row>
        <row r="886">
          <cell r="A886">
            <v>24935</v>
          </cell>
          <cell r="B886" t="str">
            <v>Clark</v>
          </cell>
          <cell r="C886" t="str">
            <v>Finlay</v>
          </cell>
          <cell r="D886">
            <v>35132</v>
          </cell>
          <cell r="E886">
            <v>18.48596851471595</v>
          </cell>
        </row>
        <row r="887">
          <cell r="A887">
            <v>30525</v>
          </cell>
          <cell r="B887" t="str">
            <v>Presser</v>
          </cell>
          <cell r="C887" t="str">
            <v>Rachel</v>
          </cell>
          <cell r="D887">
            <v>35935</v>
          </cell>
          <cell r="E887">
            <v>16.28747433264887</v>
          </cell>
        </row>
        <row r="888">
          <cell r="A888">
            <v>309001</v>
          </cell>
          <cell r="B888" t="str">
            <v>Korlotyan</v>
          </cell>
          <cell r="C888" t="str">
            <v>Adrian</v>
          </cell>
          <cell r="D888">
            <v>40097</v>
          </cell>
          <cell r="E888">
            <v>4.8925393566050648</v>
          </cell>
        </row>
        <row r="889">
          <cell r="A889">
            <v>295044</v>
          </cell>
          <cell r="B889" t="str">
            <v>Landsman</v>
          </cell>
          <cell r="C889" t="str">
            <v>Adriana</v>
          </cell>
          <cell r="D889">
            <v>40412</v>
          </cell>
          <cell r="E889">
            <v>4.0301163586584527</v>
          </cell>
        </row>
        <row r="890">
          <cell r="A890">
            <v>305909</v>
          </cell>
          <cell r="B890" t="str">
            <v>Hussein</v>
          </cell>
          <cell r="C890" t="str">
            <v>Mohammed</v>
          </cell>
          <cell r="D890">
            <v>40600</v>
          </cell>
          <cell r="E890">
            <v>3.5154004106776182</v>
          </cell>
        </row>
        <row r="891">
          <cell r="A891">
            <v>199879</v>
          </cell>
          <cell r="B891" t="str">
            <v>Austynas</v>
          </cell>
          <cell r="C891" t="str">
            <v>Mantas</v>
          </cell>
          <cell r="D891">
            <v>36331</v>
          </cell>
          <cell r="E891">
            <v>15.203285420944558</v>
          </cell>
        </row>
        <row r="892">
          <cell r="A892">
            <v>304594</v>
          </cell>
          <cell r="B892" t="str">
            <v>Thomas</v>
          </cell>
          <cell r="C892" t="str">
            <v>Karnae</v>
          </cell>
          <cell r="D892">
            <v>38626</v>
          </cell>
          <cell r="E892">
            <v>8.9199178644763855</v>
          </cell>
        </row>
        <row r="893">
          <cell r="A893">
            <v>276707</v>
          </cell>
          <cell r="B893" t="str">
            <v>Gulinski</v>
          </cell>
          <cell r="C893" t="str">
            <v>Filip</v>
          </cell>
          <cell r="D893">
            <v>39800</v>
          </cell>
          <cell r="E893">
            <v>5.7056810403832987</v>
          </cell>
        </row>
        <row r="894">
          <cell r="A894">
            <v>304636</v>
          </cell>
          <cell r="B894" t="str">
            <v>Anthony</v>
          </cell>
          <cell r="C894" t="str">
            <v>Mojereanuoluwa</v>
          </cell>
          <cell r="D894">
            <v>40108</v>
          </cell>
          <cell r="E894">
            <v>4.862422997946612</v>
          </cell>
        </row>
        <row r="895">
          <cell r="A895">
            <v>304590</v>
          </cell>
          <cell r="B895" t="str">
            <v>Papadopoulos</v>
          </cell>
          <cell r="C895" t="str">
            <v>Leo</v>
          </cell>
          <cell r="D895">
            <v>40227</v>
          </cell>
          <cell r="E895">
            <v>4.5366187542778915</v>
          </cell>
        </row>
        <row r="896">
          <cell r="A896">
            <v>277717</v>
          </cell>
          <cell r="B896" t="str">
            <v>Tysman</v>
          </cell>
          <cell r="C896" t="str">
            <v>Rafael</v>
          </cell>
          <cell r="D896">
            <v>40034</v>
          </cell>
          <cell r="E896">
            <v>5.0650239561943877</v>
          </cell>
        </row>
        <row r="897">
          <cell r="A897">
            <v>285649</v>
          </cell>
          <cell r="B897" t="str">
            <v>Vitalis</v>
          </cell>
          <cell r="C897" t="str">
            <v>Philip</v>
          </cell>
          <cell r="D897">
            <v>40275</v>
          </cell>
          <cell r="E897">
            <v>4.4052019164955514</v>
          </cell>
        </row>
        <row r="898">
          <cell r="A898">
            <v>74913</v>
          </cell>
          <cell r="B898" t="str">
            <v>Durban</v>
          </cell>
          <cell r="C898" t="str">
            <v>Jack</v>
          </cell>
          <cell r="D898">
            <v>37423</v>
          </cell>
          <cell r="E898">
            <v>12.213552361396303</v>
          </cell>
        </row>
        <row r="899">
          <cell r="A899">
            <v>11111</v>
          </cell>
          <cell r="B899" t="str">
            <v>STAR</v>
          </cell>
          <cell r="C899" t="str">
            <v>STAR</v>
          </cell>
          <cell r="D899"/>
          <cell r="E899">
            <v>114.67214236824093</v>
          </cell>
        </row>
      </sheetData>
      <sheetData sheetId="15">
        <row r="2">
          <cell r="A2" t="str">
            <v>345 Pre-School Thetherdown</v>
          </cell>
        </row>
      </sheetData>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over page"/>
      <sheetName val="pop"/>
      <sheetName val="births"/>
      <sheetName val="births for term breakdown"/>
      <sheetName val="pop (2)"/>
      <sheetName val="term breakdown - ages 3, 4 &amp; 5"/>
      <sheetName val="Chart Birth Projection"/>
      <sheetName val="Chart Birth projection %"/>
      <sheetName val="Comparison-Pop Trends (E&amp;W)"/>
      <sheetName val="Comparison-Pop Trends (E)"/>
      <sheetName val="Chart 1 to 15"/>
      <sheetName val="Chart birth term breakdown (%)"/>
      <sheetName val="Chart1 term breakdown (Num)"/>
      <sheetName val="cover_page"/>
      <sheetName val="births_for_term_breakdown"/>
      <sheetName val="pop_(2)"/>
      <sheetName val="term_breakdown_-_ages_3,_4_&amp;_5"/>
      <sheetName val="Chart_Birth_Projection"/>
      <sheetName val="Chart_Birth_projection_%"/>
      <sheetName val="Comparison-Pop_Trends_(E&amp;W)"/>
      <sheetName val="Comparison-Pop_Trends_(E)"/>
      <sheetName val="Chart_1_to_15"/>
      <sheetName val="Chart_birth_term_breakdown_(%)"/>
      <sheetName val="Chart1_term_breakdown_(Num)"/>
      <sheetName val="cover_page1"/>
      <sheetName val="births_for_term_breakdown1"/>
      <sheetName val="pop_(2)1"/>
      <sheetName val="term_breakdown_-_ages_3,_4_&amp;_51"/>
      <sheetName val="Chart_Birth_Projection1"/>
      <sheetName val="Chart_Birth_projection_%1"/>
      <sheetName val="Comparison-Pop_Trends_(E&amp;W)1"/>
      <sheetName val="Comparison-Pop_Trends_(E)1"/>
      <sheetName val="Chart_1_to_151"/>
      <sheetName val="Chart_birth_term_breakdown_(%)1"/>
      <sheetName val="Chart1_term_breakdown_(Num)1"/>
      <sheetName val="cover_page2"/>
      <sheetName val="births_for_term_breakdown2"/>
      <sheetName val="pop_(2)2"/>
      <sheetName val="term_breakdown_-_ages_3,_4_&amp;_52"/>
      <sheetName val="Chart_Birth_Projection2"/>
      <sheetName val="Chart_Birth_projection_%2"/>
      <sheetName val="Comparison-Pop_Trends_(E&amp;W)2"/>
      <sheetName val="Comparison-Pop_Trends_(E)2"/>
      <sheetName val="Chart_1_to_152"/>
      <sheetName val="Chart_birth_term_breakdown_(%)2"/>
      <sheetName val="Chart1_term_breakdown_(Num)2"/>
    </sheetNames>
    <sheetDataSet>
      <sheetData sheetId="0" refreshError="1">
        <row r="3">
          <cell r="H3" t="str">
            <v>England</v>
          </cell>
        </row>
        <row r="5">
          <cell r="H5" t="str">
            <v>DME75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 with notes"/>
      <sheetName val="Pivot"/>
      <sheetName val="CCs"/>
      <sheetName val="CCs_with_notes"/>
    </sheetNames>
    <sheetDataSet>
      <sheetData sheetId="0"/>
      <sheetData sheetId="1"/>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Pivot table"/>
      <sheetName val="Pivot table"/>
      <sheetName val="Sheet1 (2)"/>
      <sheetName val="SAP Download"/>
      <sheetName val="Split Funded CC's"/>
      <sheetName val="Rec of LP Schools Bud figs"/>
      <sheetName val="Line 1.2.1"/>
      <sheetName val="Line 1.2.2"/>
      <sheetName val="Line 1.2.3"/>
      <sheetName val="Line 1.2.4"/>
      <sheetName val="Line 1.2.6"/>
      <sheetName val="Line 1.3.3"/>
      <sheetName val="Ser.Rechgs by CC"/>
      <sheetName val="Service Rechgs tagged"/>
      <sheetName val="Ser.Rechgs by GL"/>
      <sheetName val="Service Rechgs Download"/>
      <sheetName val="Recoupment Analysis"/>
      <sheetName val="SchoolsBudget"/>
      <sheetName val="SEN "/>
      <sheetName val="Outstanding Adj-virements"/>
      <sheetName val="Adjusted_Pivot_table"/>
      <sheetName val="Pivot_table"/>
      <sheetName val="Sheet1_(2)"/>
      <sheetName val="SAP_Download"/>
      <sheetName val="Split_Funded_CC's"/>
      <sheetName val="Rec_of_LP_Schools_Bud_figs"/>
      <sheetName val="Line_1_2_1"/>
      <sheetName val="Line_1_2_2"/>
      <sheetName val="Line_1_2_3"/>
      <sheetName val="Line_1_2_4"/>
      <sheetName val="Line_1_2_6"/>
      <sheetName val="Line_1_3_3"/>
      <sheetName val="Ser_Rechgs_by_CC"/>
      <sheetName val="Service_Rechgs_tagged"/>
      <sheetName val="Ser_Rechgs_by_GL"/>
      <sheetName val="Service_Rechgs_Download"/>
      <sheetName val="Recoupment_Analysis"/>
      <sheetName val="SEN_"/>
      <sheetName val="Outstanding_Adj-vir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 Pupil Numbers"/>
      <sheetName val="Analysis"/>
      <sheetName val="tables"/>
      <sheetName val="ACA"/>
      <sheetName val="ACA Comparison"/>
      <sheetName val="LA_Pupil_Numbers"/>
      <sheetName val="ACA_Comparison"/>
    </sheetNames>
    <sheetDataSet>
      <sheetData sheetId="0"/>
      <sheetData sheetId="1"/>
      <sheetData sheetId="2">
        <row r="2">
          <cell r="J2">
            <v>201</v>
          </cell>
          <cell r="K2">
            <v>1.2623610869345974</v>
          </cell>
        </row>
        <row r="3">
          <cell r="J3">
            <v>202</v>
          </cell>
          <cell r="K3">
            <v>1.1849346751721002</v>
          </cell>
        </row>
        <row r="4">
          <cell r="J4">
            <v>203</v>
          </cell>
          <cell r="K4">
            <v>1.1849346751721002</v>
          </cell>
        </row>
        <row r="5">
          <cell r="J5">
            <v>204</v>
          </cell>
          <cell r="K5">
            <v>1.1849346751721002</v>
          </cell>
        </row>
        <row r="6">
          <cell r="J6">
            <v>205</v>
          </cell>
          <cell r="K6">
            <v>1.1849346751721002</v>
          </cell>
        </row>
        <row r="7">
          <cell r="J7">
            <v>206</v>
          </cell>
          <cell r="K7">
            <v>1.1849346751721002</v>
          </cell>
        </row>
        <row r="8">
          <cell r="J8">
            <v>207</v>
          </cell>
          <cell r="K8">
            <v>1.1849346751721002</v>
          </cell>
        </row>
        <row r="9">
          <cell r="J9">
            <v>208</v>
          </cell>
          <cell r="K9">
            <v>1.1849346751721002</v>
          </cell>
        </row>
        <row r="10">
          <cell r="J10">
            <v>209</v>
          </cell>
          <cell r="K10">
            <v>1.1849346751721002</v>
          </cell>
        </row>
        <row r="11">
          <cell r="J11">
            <v>210</v>
          </cell>
          <cell r="K11">
            <v>1.1849346751721002</v>
          </cell>
        </row>
        <row r="12">
          <cell r="J12">
            <v>211</v>
          </cell>
          <cell r="K12">
            <v>1.1849346751721002</v>
          </cell>
        </row>
        <row r="13">
          <cell r="J13">
            <v>212</v>
          </cell>
          <cell r="K13">
            <v>1.1849346751721002</v>
          </cell>
        </row>
        <row r="14">
          <cell r="J14">
            <v>213</v>
          </cell>
          <cell r="K14">
            <v>1.1849346751721002</v>
          </cell>
        </row>
        <row r="15">
          <cell r="J15">
            <v>301</v>
          </cell>
          <cell r="K15">
            <v>1.1297090495405613</v>
          </cell>
        </row>
        <row r="16">
          <cell r="J16">
            <v>302</v>
          </cell>
          <cell r="K16">
            <v>1.0998061995962876</v>
          </cell>
        </row>
        <row r="17">
          <cell r="J17">
            <v>303</v>
          </cell>
          <cell r="K17">
            <v>1.0831376686934553</v>
          </cell>
        </row>
        <row r="18">
          <cell r="J18">
            <v>304</v>
          </cell>
          <cell r="K18">
            <v>1.1463775804433936</v>
          </cell>
        </row>
        <row r="19">
          <cell r="J19">
            <v>305</v>
          </cell>
          <cell r="K19">
            <v>1.0831376686934553</v>
          </cell>
        </row>
        <row r="20">
          <cell r="J20">
            <v>306</v>
          </cell>
          <cell r="K20">
            <v>1.0831376686934553</v>
          </cell>
        </row>
        <row r="21">
          <cell r="J21">
            <v>307</v>
          </cell>
          <cell r="K21">
            <v>1.1463775804433936</v>
          </cell>
        </row>
        <row r="22">
          <cell r="J22">
            <v>308</v>
          </cell>
          <cell r="K22">
            <v>1.0831376686934553</v>
          </cell>
        </row>
        <row r="23">
          <cell r="J23">
            <v>309</v>
          </cell>
          <cell r="K23">
            <v>1.1297090495405613</v>
          </cell>
        </row>
        <row r="24">
          <cell r="J24">
            <v>310</v>
          </cell>
          <cell r="K24">
            <v>1.0998061995962876</v>
          </cell>
        </row>
        <row r="25">
          <cell r="J25">
            <v>311</v>
          </cell>
          <cell r="K25">
            <v>1.0831376686934553</v>
          </cell>
        </row>
        <row r="26">
          <cell r="J26">
            <v>312</v>
          </cell>
          <cell r="K26">
            <v>1.0998061995962876</v>
          </cell>
        </row>
        <row r="27">
          <cell r="J27">
            <v>313</v>
          </cell>
          <cell r="K27">
            <v>1.0998061995962876</v>
          </cell>
        </row>
        <row r="28">
          <cell r="J28">
            <v>314</v>
          </cell>
          <cell r="K28">
            <v>1.0998061995962876</v>
          </cell>
        </row>
        <row r="29">
          <cell r="J29">
            <v>315</v>
          </cell>
          <cell r="K29">
            <v>1.1463775804433936</v>
          </cell>
        </row>
        <row r="30">
          <cell r="J30">
            <v>316</v>
          </cell>
          <cell r="K30">
            <v>1.1297090495405613</v>
          </cell>
        </row>
        <row r="31">
          <cell r="J31">
            <v>317</v>
          </cell>
          <cell r="K31">
            <v>1.0831376686934553</v>
          </cell>
        </row>
        <row r="32">
          <cell r="J32">
            <v>318</v>
          </cell>
          <cell r="K32">
            <v>1.0998061995962876</v>
          </cell>
        </row>
        <row r="33">
          <cell r="J33">
            <v>319</v>
          </cell>
          <cell r="K33">
            <v>1.0998061995962876</v>
          </cell>
        </row>
        <row r="34">
          <cell r="J34">
            <v>320</v>
          </cell>
          <cell r="K34">
            <v>1.0831376686934553</v>
          </cell>
        </row>
        <row r="35">
          <cell r="J35">
            <v>330</v>
          </cell>
          <cell r="K35">
            <v>1.003451469130177</v>
          </cell>
        </row>
        <row r="36">
          <cell r="J36">
            <v>331</v>
          </cell>
          <cell r="K36">
            <v>1.003451469130177</v>
          </cell>
        </row>
        <row r="37">
          <cell r="J37">
            <v>332</v>
          </cell>
          <cell r="K37">
            <v>1.003451469130177</v>
          </cell>
        </row>
        <row r="38">
          <cell r="J38">
            <v>333</v>
          </cell>
          <cell r="K38">
            <v>1.003451469130177</v>
          </cell>
        </row>
        <row r="39">
          <cell r="J39">
            <v>334</v>
          </cell>
          <cell r="K39">
            <v>1.003451469130177</v>
          </cell>
        </row>
        <row r="40">
          <cell r="J40">
            <v>335</v>
          </cell>
          <cell r="K40">
            <v>1.003451469130177</v>
          </cell>
        </row>
        <row r="41">
          <cell r="J41">
            <v>336</v>
          </cell>
          <cell r="K41">
            <v>1.003451469130177</v>
          </cell>
        </row>
        <row r="42">
          <cell r="J42">
            <v>340</v>
          </cell>
          <cell r="K42">
            <v>1.0011447491179912</v>
          </cell>
        </row>
        <row r="43">
          <cell r="J43">
            <v>341</v>
          </cell>
          <cell r="K43">
            <v>1.0011447491179912</v>
          </cell>
        </row>
        <row r="44">
          <cell r="J44">
            <v>342</v>
          </cell>
          <cell r="K44">
            <v>1.0011447491179912</v>
          </cell>
        </row>
        <row r="45">
          <cell r="J45">
            <v>343</v>
          </cell>
          <cell r="K45">
            <v>1.0011447491179912</v>
          </cell>
        </row>
        <row r="46">
          <cell r="J46">
            <v>344</v>
          </cell>
          <cell r="K46">
            <v>1.0011447491179912</v>
          </cell>
        </row>
        <row r="47">
          <cell r="J47">
            <v>350</v>
          </cell>
          <cell r="K47">
            <v>1.0055767552613917</v>
          </cell>
        </row>
        <row r="48">
          <cell r="J48">
            <v>351</v>
          </cell>
          <cell r="K48">
            <v>1.0055767552613917</v>
          </cell>
        </row>
        <row r="49">
          <cell r="J49">
            <v>352</v>
          </cell>
          <cell r="K49">
            <v>1.0055767552613917</v>
          </cell>
        </row>
        <row r="50">
          <cell r="J50">
            <v>353</v>
          </cell>
          <cell r="K50">
            <v>1.0055767552613917</v>
          </cell>
        </row>
        <row r="51">
          <cell r="J51">
            <v>354</v>
          </cell>
          <cell r="K51">
            <v>1.0055767552613917</v>
          </cell>
        </row>
        <row r="52">
          <cell r="J52">
            <v>355</v>
          </cell>
          <cell r="K52">
            <v>1.0055767552613917</v>
          </cell>
        </row>
        <row r="53">
          <cell r="J53">
            <v>356</v>
          </cell>
          <cell r="K53">
            <v>1.0055767552613917</v>
          </cell>
        </row>
        <row r="54">
          <cell r="J54">
            <v>357</v>
          </cell>
          <cell r="K54">
            <v>1.0055767552613917</v>
          </cell>
        </row>
        <row r="55">
          <cell r="J55">
            <v>358</v>
          </cell>
          <cell r="K55">
            <v>1.0055767552613917</v>
          </cell>
        </row>
        <row r="56">
          <cell r="J56">
            <v>359</v>
          </cell>
          <cell r="K56">
            <v>1.0055767552613917</v>
          </cell>
        </row>
        <row r="57">
          <cell r="J57">
            <v>370</v>
          </cell>
          <cell r="K57">
            <v>1</v>
          </cell>
        </row>
        <row r="58">
          <cell r="J58">
            <v>371</v>
          </cell>
          <cell r="K58">
            <v>1</v>
          </cell>
        </row>
        <row r="59">
          <cell r="J59">
            <v>372</v>
          </cell>
          <cell r="K59">
            <v>1</v>
          </cell>
        </row>
        <row r="60">
          <cell r="J60">
            <v>373</v>
          </cell>
          <cell r="K60">
            <v>1</v>
          </cell>
        </row>
        <row r="61">
          <cell r="J61">
            <v>380</v>
          </cell>
          <cell r="K61">
            <v>1.0001650980158474</v>
          </cell>
        </row>
        <row r="62">
          <cell r="J62">
            <v>381</v>
          </cell>
          <cell r="K62">
            <v>1.0001650980158474</v>
          </cell>
        </row>
        <row r="63">
          <cell r="J63">
            <v>382</v>
          </cell>
          <cell r="K63">
            <v>1.0001650980158474</v>
          </cell>
        </row>
        <row r="64">
          <cell r="J64">
            <v>383</v>
          </cell>
          <cell r="K64">
            <v>1.0001650980158474</v>
          </cell>
        </row>
        <row r="65">
          <cell r="J65">
            <v>384</v>
          </cell>
          <cell r="K65">
            <v>1.0001650980158474</v>
          </cell>
        </row>
        <row r="66">
          <cell r="J66">
            <v>390</v>
          </cell>
          <cell r="K66">
            <v>1</v>
          </cell>
        </row>
        <row r="67">
          <cell r="J67">
            <v>391</v>
          </cell>
          <cell r="K67">
            <v>1</v>
          </cell>
        </row>
        <row r="68">
          <cell r="J68">
            <v>392</v>
          </cell>
          <cell r="K68">
            <v>1</v>
          </cell>
        </row>
        <row r="69">
          <cell r="J69">
            <v>393</v>
          </cell>
          <cell r="K69">
            <v>1</v>
          </cell>
        </row>
        <row r="70">
          <cell r="J70">
            <v>394</v>
          </cell>
          <cell r="K70">
            <v>1</v>
          </cell>
        </row>
        <row r="71">
          <cell r="J71">
            <v>800</v>
          </cell>
          <cell r="K71">
            <v>1.0149320816582614</v>
          </cell>
        </row>
        <row r="72">
          <cell r="J72">
            <v>801</v>
          </cell>
          <cell r="K72">
            <v>1.0149320816582614</v>
          </cell>
        </row>
        <row r="73">
          <cell r="J73">
            <v>802</v>
          </cell>
          <cell r="K73">
            <v>1.0149320816582614</v>
          </cell>
        </row>
        <row r="74">
          <cell r="J74">
            <v>803</v>
          </cell>
          <cell r="K74">
            <v>1.0149320816582614</v>
          </cell>
        </row>
        <row r="75">
          <cell r="J75">
            <v>805</v>
          </cell>
          <cell r="K75">
            <v>1</v>
          </cell>
        </row>
        <row r="76">
          <cell r="J76">
            <v>806</v>
          </cell>
          <cell r="K76">
            <v>1</v>
          </cell>
        </row>
        <row r="77">
          <cell r="J77">
            <v>807</v>
          </cell>
          <cell r="K77">
            <v>1</v>
          </cell>
        </row>
        <row r="78">
          <cell r="J78">
            <v>808</v>
          </cell>
          <cell r="K78">
            <v>1</v>
          </cell>
        </row>
        <row r="79">
          <cell r="J79">
            <v>810</v>
          </cell>
          <cell r="K79">
            <v>1</v>
          </cell>
        </row>
        <row r="80">
          <cell r="J80">
            <v>811</v>
          </cell>
          <cell r="K80">
            <v>1</v>
          </cell>
        </row>
        <row r="81">
          <cell r="J81">
            <v>812</v>
          </cell>
          <cell r="K81">
            <v>1</v>
          </cell>
        </row>
        <row r="82">
          <cell r="J82">
            <v>813</v>
          </cell>
          <cell r="K82">
            <v>1</v>
          </cell>
        </row>
        <row r="83">
          <cell r="J83">
            <v>815</v>
          </cell>
          <cell r="K83">
            <v>1</v>
          </cell>
        </row>
        <row r="84">
          <cell r="J84">
            <v>816</v>
          </cell>
          <cell r="K84">
            <v>1</v>
          </cell>
        </row>
        <row r="85">
          <cell r="J85">
            <v>821</v>
          </cell>
          <cell r="K85">
            <v>1.0160157557120151</v>
          </cell>
        </row>
        <row r="86">
          <cell r="J86">
            <v>822</v>
          </cell>
          <cell r="K86">
            <v>1.0160157557120151</v>
          </cell>
        </row>
        <row r="87">
          <cell r="J87">
            <v>823</v>
          </cell>
          <cell r="K87">
            <v>1.0160157557120151</v>
          </cell>
        </row>
        <row r="88">
          <cell r="J88">
            <v>825</v>
          </cell>
          <cell r="K88">
            <v>1.0348976856730419</v>
          </cell>
        </row>
        <row r="89">
          <cell r="J89">
            <v>826</v>
          </cell>
          <cell r="K89">
            <v>1.0293000445269778</v>
          </cell>
        </row>
        <row r="90">
          <cell r="J90">
            <v>830</v>
          </cell>
          <cell r="K90">
            <v>1</v>
          </cell>
        </row>
        <row r="91">
          <cell r="J91">
            <v>831</v>
          </cell>
          <cell r="K91">
            <v>1</v>
          </cell>
        </row>
        <row r="92">
          <cell r="J92">
            <v>835</v>
          </cell>
          <cell r="K92">
            <v>1</v>
          </cell>
        </row>
        <row r="93">
          <cell r="J93">
            <v>836</v>
          </cell>
          <cell r="K93">
            <v>1</v>
          </cell>
        </row>
        <row r="94">
          <cell r="J94">
            <v>837</v>
          </cell>
          <cell r="K94">
            <v>1</v>
          </cell>
        </row>
        <row r="95">
          <cell r="J95">
            <v>840</v>
          </cell>
          <cell r="K95">
            <v>1</v>
          </cell>
        </row>
        <row r="96">
          <cell r="J96">
            <v>841</v>
          </cell>
          <cell r="K96">
            <v>1</v>
          </cell>
        </row>
        <row r="97">
          <cell r="J97">
            <v>845</v>
          </cell>
          <cell r="K97">
            <v>1.0017284959376629</v>
          </cell>
        </row>
        <row r="98">
          <cell r="J98">
            <v>846</v>
          </cell>
          <cell r="K98">
            <v>1.0017284959376629</v>
          </cell>
        </row>
        <row r="99">
          <cell r="J99">
            <v>850</v>
          </cell>
          <cell r="K99">
            <v>1.014490836265451</v>
          </cell>
        </row>
        <row r="100">
          <cell r="J100">
            <v>851</v>
          </cell>
          <cell r="K100">
            <v>1.014490836265451</v>
          </cell>
        </row>
        <row r="101">
          <cell r="J101">
            <v>852</v>
          </cell>
          <cell r="K101">
            <v>1.014490836265451</v>
          </cell>
        </row>
        <row r="102">
          <cell r="J102">
            <v>855</v>
          </cell>
          <cell r="K102">
            <v>1</v>
          </cell>
        </row>
        <row r="103">
          <cell r="J103">
            <v>856</v>
          </cell>
          <cell r="K103">
            <v>1</v>
          </cell>
        </row>
        <row r="104">
          <cell r="J104">
            <v>857</v>
          </cell>
          <cell r="K104">
            <v>1</v>
          </cell>
        </row>
        <row r="105">
          <cell r="J105">
            <v>860</v>
          </cell>
          <cell r="K105">
            <v>1</v>
          </cell>
        </row>
        <row r="106">
          <cell r="J106">
            <v>861</v>
          </cell>
          <cell r="K106">
            <v>1</v>
          </cell>
        </row>
        <row r="107">
          <cell r="J107">
            <v>865</v>
          </cell>
          <cell r="K107">
            <v>1.0073267651634539</v>
          </cell>
        </row>
        <row r="108">
          <cell r="J108">
            <v>866</v>
          </cell>
          <cell r="K108">
            <v>1.0073267651634539</v>
          </cell>
        </row>
        <row r="109">
          <cell r="J109">
            <v>867</v>
          </cell>
          <cell r="K109">
            <v>1.0576177632035826</v>
          </cell>
        </row>
        <row r="110">
          <cell r="J110">
            <v>868</v>
          </cell>
          <cell r="K110">
            <v>1.0576177632035826</v>
          </cell>
        </row>
        <row r="111">
          <cell r="J111">
            <v>869</v>
          </cell>
          <cell r="K111">
            <v>1.0354935687103402</v>
          </cell>
        </row>
        <row r="112">
          <cell r="J112">
            <v>870</v>
          </cell>
          <cell r="K112">
            <v>1.0354935687103402</v>
          </cell>
        </row>
        <row r="113">
          <cell r="J113">
            <v>871</v>
          </cell>
          <cell r="K113">
            <v>1.0576177632035826</v>
          </cell>
        </row>
        <row r="114">
          <cell r="J114">
            <v>872</v>
          </cell>
          <cell r="K114">
            <v>1.0354935687103402</v>
          </cell>
        </row>
        <row r="115">
          <cell r="J115">
            <v>873</v>
          </cell>
          <cell r="K115">
            <v>1.0131157158754904</v>
          </cell>
        </row>
        <row r="116">
          <cell r="J116">
            <v>874</v>
          </cell>
          <cell r="K116">
            <v>1.0131157158754904</v>
          </cell>
        </row>
        <row r="117">
          <cell r="J117">
            <v>876</v>
          </cell>
          <cell r="K117">
            <v>1.0037064826216322</v>
          </cell>
        </row>
        <row r="118">
          <cell r="J118">
            <v>877</v>
          </cell>
          <cell r="K118">
            <v>1.0037064826216322</v>
          </cell>
        </row>
        <row r="119">
          <cell r="J119">
            <v>878</v>
          </cell>
          <cell r="K119">
            <v>1</v>
          </cell>
        </row>
        <row r="120">
          <cell r="J120">
            <v>879</v>
          </cell>
          <cell r="K120">
            <v>1</v>
          </cell>
        </row>
        <row r="121">
          <cell r="J121">
            <v>880</v>
          </cell>
          <cell r="K121">
            <v>1</v>
          </cell>
        </row>
        <row r="122">
          <cell r="J122">
            <v>881</v>
          </cell>
          <cell r="K122">
            <v>1.0151595720089308</v>
          </cell>
        </row>
        <row r="123">
          <cell r="J123">
            <v>882</v>
          </cell>
          <cell r="K123">
            <v>1.0036174653946481</v>
          </cell>
        </row>
        <row r="124">
          <cell r="J124">
            <v>883</v>
          </cell>
          <cell r="K124">
            <v>1.037788670711258</v>
          </cell>
        </row>
        <row r="125">
          <cell r="J125">
            <v>884</v>
          </cell>
          <cell r="K125">
            <v>1</v>
          </cell>
        </row>
        <row r="126">
          <cell r="J126">
            <v>885</v>
          </cell>
          <cell r="K126">
            <v>1</v>
          </cell>
        </row>
        <row r="127">
          <cell r="J127">
            <v>886</v>
          </cell>
          <cell r="K127">
            <v>1.0058722477775675</v>
          </cell>
        </row>
        <row r="128">
          <cell r="J128">
            <v>887</v>
          </cell>
          <cell r="K128">
            <v>1.0007213301430509</v>
          </cell>
        </row>
        <row r="129">
          <cell r="J129">
            <v>888</v>
          </cell>
          <cell r="K129">
            <v>1</v>
          </cell>
        </row>
        <row r="130">
          <cell r="J130">
            <v>889</v>
          </cell>
          <cell r="K130">
            <v>1</v>
          </cell>
        </row>
        <row r="131">
          <cell r="J131">
            <v>890</v>
          </cell>
          <cell r="K131">
            <v>1</v>
          </cell>
        </row>
        <row r="132">
          <cell r="J132">
            <v>891</v>
          </cell>
          <cell r="K132">
            <v>1.0028255205564489</v>
          </cell>
        </row>
        <row r="133">
          <cell r="J133">
            <v>892</v>
          </cell>
          <cell r="K133">
            <v>1.0028255205564489</v>
          </cell>
        </row>
        <row r="134">
          <cell r="J134">
            <v>893</v>
          </cell>
          <cell r="K134">
            <v>1</v>
          </cell>
        </row>
        <row r="135">
          <cell r="J135">
            <v>894</v>
          </cell>
          <cell r="K135">
            <v>1</v>
          </cell>
        </row>
        <row r="136">
          <cell r="J136">
            <v>895</v>
          </cell>
          <cell r="K136">
            <v>1.0037064826216322</v>
          </cell>
        </row>
        <row r="137">
          <cell r="J137">
            <v>896</v>
          </cell>
          <cell r="K137">
            <v>1.0037064826216322</v>
          </cell>
        </row>
        <row r="138">
          <cell r="J138">
            <v>908</v>
          </cell>
          <cell r="K138">
            <v>1</v>
          </cell>
        </row>
        <row r="139">
          <cell r="J139">
            <v>909</v>
          </cell>
          <cell r="K139">
            <v>1</v>
          </cell>
        </row>
        <row r="140">
          <cell r="J140">
            <v>916</v>
          </cell>
          <cell r="K140">
            <v>1.0064345035302777</v>
          </cell>
        </row>
        <row r="141">
          <cell r="J141">
            <v>919</v>
          </cell>
          <cell r="K141">
            <v>1.04138994908529</v>
          </cell>
        </row>
        <row r="142">
          <cell r="J142">
            <v>921</v>
          </cell>
          <cell r="K142">
            <v>1.014490836265451</v>
          </cell>
        </row>
        <row r="143">
          <cell r="J143">
            <v>925</v>
          </cell>
          <cell r="K143">
            <v>1</v>
          </cell>
        </row>
        <row r="144">
          <cell r="J144">
            <v>926</v>
          </cell>
          <cell r="K144">
            <v>1</v>
          </cell>
        </row>
        <row r="145">
          <cell r="J145">
            <v>928</v>
          </cell>
          <cell r="K145">
            <v>1.0033558429585079</v>
          </cell>
        </row>
        <row r="146">
          <cell r="J146">
            <v>929</v>
          </cell>
          <cell r="K146">
            <v>1</v>
          </cell>
        </row>
        <row r="147">
          <cell r="J147">
            <v>931</v>
          </cell>
          <cell r="K147">
            <v>1.0226738435214191</v>
          </cell>
        </row>
        <row r="148">
          <cell r="J148">
            <v>933</v>
          </cell>
          <cell r="K148">
            <v>1</v>
          </cell>
        </row>
        <row r="149">
          <cell r="J149">
            <v>935</v>
          </cell>
          <cell r="K149">
            <v>1.0000244159203306</v>
          </cell>
        </row>
        <row r="150">
          <cell r="J150">
            <v>936</v>
          </cell>
          <cell r="K150">
            <v>1.0576177632035826</v>
          </cell>
        </row>
        <row r="151">
          <cell r="J151">
            <v>937</v>
          </cell>
          <cell r="K151">
            <v>1.0071585420946638</v>
          </cell>
        </row>
        <row r="152">
          <cell r="J152">
            <v>938</v>
          </cell>
          <cell r="K152">
            <v>1.0091093430436222</v>
          </cell>
        </row>
      </sheetData>
      <sheetData sheetId="3"/>
      <sheetData sheetId="4"/>
      <sheetData sheetId="5"/>
      <sheetData sheetId="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ORGS1011 (2)"/>
      <sheetName val="Report"/>
      <sheetName val="News"/>
      <sheetName val="transaction data 0910"/>
      <sheetName val="All Schools"/>
      <sheetName val="Pupils"/>
      <sheetName val="AEN Report"/>
      <sheetName val="Special"/>
      <sheetName val="Resource Provision"/>
      <sheetName val="sftrans1011"/>
      <sheetName val="mfg"/>
      <sheetName val="MFGreport"/>
      <sheetName val="ProvAlloc1011"/>
      <sheetName val="EMAG"/>
      <sheetName val="pivot"/>
      <sheetName val="sf trans 0910"/>
      <sheetName val="REORGS1011"/>
      <sheetName val="transaction data 1011"/>
      <sheetName val="rates"/>
      <sheetName val="data"/>
      <sheetName val="rpsen"/>
      <sheetName val="specialsen"/>
      <sheetName val="AEN"/>
      <sheetName val="Primary aen"/>
      <sheetName val="Census Jan 09"/>
      <sheetName val="Pupils 2010"/>
      <sheetName val="Pupil data"/>
      <sheetName val="SFOalloc0910"/>
      <sheetName val="REORGS1011_(2)"/>
      <sheetName val="transaction_data_0910"/>
      <sheetName val="All_Schools"/>
      <sheetName val="AEN_Report"/>
      <sheetName val="Resource_Provision"/>
      <sheetName val="sf_trans_0910"/>
      <sheetName val="transaction_data_1011"/>
      <sheetName val="Primary_aen"/>
      <sheetName val="Census_Jan_09"/>
      <sheetName val="Pupils_2010"/>
      <sheetName val="Pupil_data"/>
    </sheetNames>
    <sheetDataSet>
      <sheetData sheetId="0" refreshError="1"/>
      <sheetData sheetId="1" refreshError="1">
        <row r="8">
          <cell r="L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UserInterface"/>
      <sheetName val="ForLAs_exceptPartFringe"/>
      <sheetName val="ForLAs_PartFringe"/>
      <sheetName val="LA_Calcs"/>
      <sheetName val="SchoolCalcs"/>
      <sheetName val="FactorContributions"/>
      <sheetName val="Chart_FactorContributions"/>
      <sheetName val="CondocData"/>
      <sheetName val="Chart_IndividualLAs"/>
      <sheetName val="SQLview_noNRAs"/>
      <sheetName val="UnitValues"/>
      <sheetName val="ACA_District"/>
      <sheetName val="DSG_14-15"/>
      <sheetName val="PupilProjections"/>
      <sheetName val="Lists"/>
      <sheetName val="MFL DualRun 2014-15 Y14M07D08"/>
      <sheetName val="MFL_DualRun_2014-15_Y14M07D08"/>
    </sheetNames>
    <sheetDataSet>
      <sheetData sheetId="0"/>
      <sheetData sheetId="1"/>
      <sheetData sheetId="2">
        <row r="6">
          <cell r="C6">
            <v>0.90849999999999997</v>
          </cell>
        </row>
      </sheetData>
      <sheetData sheetId="3"/>
      <sheetData sheetId="4"/>
      <sheetData sheetId="5"/>
      <sheetData sheetId="6"/>
      <sheetData sheetId="7"/>
      <sheetData sheetId="8"/>
      <sheetData sheetId="9"/>
      <sheetData sheetId="10"/>
      <sheetData sheetId="11"/>
      <sheetData sheetId="12">
        <row r="26">
          <cell r="E26">
            <v>1129.6542482635309</v>
          </cell>
        </row>
      </sheetData>
      <sheetData sheetId="13"/>
      <sheetData sheetId="14"/>
      <sheetData sheetId="15"/>
      <sheetData sheetId="16"/>
      <sheetData sheetId="17" refreshError="1"/>
      <sheetData sheetId="1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
      <sheetName val="Qtab output"/>
      <sheetName val="Qtab_output"/>
    </sheetNames>
    <sheetDataSet>
      <sheetData sheetId="0" refreshError="1"/>
      <sheetData sheetId="1" refreshError="1">
        <row r="5">
          <cell r="B5">
            <v>30</v>
          </cell>
        </row>
        <row r="8">
          <cell r="B8">
            <v>0</v>
          </cell>
        </row>
        <row r="9">
          <cell r="B9">
            <v>19</v>
          </cell>
        </row>
        <row r="10">
          <cell r="B10">
            <v>11</v>
          </cell>
        </row>
        <row r="12">
          <cell r="B12">
            <v>24</v>
          </cell>
        </row>
        <row r="13">
          <cell r="B13">
            <v>1</v>
          </cell>
        </row>
        <row r="14">
          <cell r="B14">
            <v>1</v>
          </cell>
        </row>
        <row r="17">
          <cell r="B17">
            <v>25</v>
          </cell>
        </row>
        <row r="18">
          <cell r="B18">
            <v>0</v>
          </cell>
        </row>
        <row r="19">
          <cell r="B19">
            <v>4</v>
          </cell>
        </row>
        <row r="20">
          <cell r="B20">
            <v>13</v>
          </cell>
        </row>
        <row r="21">
          <cell r="B21">
            <v>9</v>
          </cell>
        </row>
        <row r="23">
          <cell r="B23">
            <v>0</v>
          </cell>
        </row>
        <row r="24">
          <cell r="B24">
            <v>16</v>
          </cell>
        </row>
        <row r="25">
          <cell r="B25">
            <v>36</v>
          </cell>
        </row>
        <row r="27">
          <cell r="B27">
            <v>2</v>
          </cell>
        </row>
        <row r="28">
          <cell r="B28">
            <v>17</v>
          </cell>
        </row>
        <row r="30">
          <cell r="B30">
            <v>3</v>
          </cell>
        </row>
        <row r="31">
          <cell r="B31">
            <v>35</v>
          </cell>
        </row>
        <row r="32">
          <cell r="B32">
            <v>15</v>
          </cell>
        </row>
        <row r="33">
          <cell r="B33">
            <v>0</v>
          </cell>
        </row>
        <row r="34">
          <cell r="B34">
            <v>0</v>
          </cell>
        </row>
        <row r="35">
          <cell r="B35">
            <v>7</v>
          </cell>
        </row>
        <row r="36">
          <cell r="B36">
            <v>12</v>
          </cell>
        </row>
        <row r="39">
          <cell r="B39">
            <v>26</v>
          </cell>
        </row>
        <row r="41">
          <cell r="B41">
            <v>66</v>
          </cell>
        </row>
        <row r="42">
          <cell r="B42">
            <v>0</v>
          </cell>
        </row>
        <row r="43">
          <cell r="B43">
            <v>10</v>
          </cell>
        </row>
        <row r="44">
          <cell r="B44">
            <v>21</v>
          </cell>
        </row>
        <row r="47">
          <cell r="B47">
            <v>23</v>
          </cell>
        </row>
        <row r="48">
          <cell r="B48">
            <v>7</v>
          </cell>
        </row>
        <row r="49">
          <cell r="B49">
            <v>60</v>
          </cell>
        </row>
        <row r="53">
          <cell r="B53">
            <v>3</v>
          </cell>
        </row>
        <row r="54">
          <cell r="B54">
            <v>33</v>
          </cell>
        </row>
        <row r="57">
          <cell r="B57">
            <v>23</v>
          </cell>
        </row>
        <row r="59">
          <cell r="B59">
            <v>0</v>
          </cell>
        </row>
        <row r="61">
          <cell r="B61">
            <v>15</v>
          </cell>
        </row>
        <row r="62">
          <cell r="B62">
            <v>0</v>
          </cell>
        </row>
        <row r="63">
          <cell r="B63">
            <v>104</v>
          </cell>
        </row>
        <row r="65">
          <cell r="B65">
            <v>4</v>
          </cell>
        </row>
        <row r="66">
          <cell r="B66">
            <v>5</v>
          </cell>
        </row>
        <row r="67">
          <cell r="B67">
            <v>24</v>
          </cell>
        </row>
        <row r="69">
          <cell r="B69">
            <v>13</v>
          </cell>
        </row>
        <row r="70">
          <cell r="B70">
            <v>22</v>
          </cell>
        </row>
        <row r="71">
          <cell r="B71">
            <v>32</v>
          </cell>
        </row>
        <row r="72">
          <cell r="B72">
            <v>20</v>
          </cell>
        </row>
        <row r="73">
          <cell r="B73">
            <v>1</v>
          </cell>
        </row>
        <row r="74">
          <cell r="B74">
            <v>2</v>
          </cell>
        </row>
        <row r="77">
          <cell r="B77">
            <v>4</v>
          </cell>
        </row>
        <row r="79">
          <cell r="B79">
            <v>27</v>
          </cell>
        </row>
        <row r="80">
          <cell r="B80">
            <v>0</v>
          </cell>
        </row>
        <row r="81">
          <cell r="B81">
            <v>10</v>
          </cell>
        </row>
        <row r="82">
          <cell r="B82">
            <v>1</v>
          </cell>
        </row>
        <row r="83">
          <cell r="B83">
            <v>0</v>
          </cell>
        </row>
        <row r="84">
          <cell r="B84">
            <v>0</v>
          </cell>
        </row>
        <row r="85">
          <cell r="B85">
            <v>10</v>
          </cell>
        </row>
        <row r="86">
          <cell r="B86">
            <v>0</v>
          </cell>
        </row>
        <row r="90">
          <cell r="B90">
            <v>2</v>
          </cell>
        </row>
        <row r="91">
          <cell r="B91">
            <v>0</v>
          </cell>
        </row>
        <row r="92">
          <cell r="B92">
            <v>1</v>
          </cell>
        </row>
        <row r="93">
          <cell r="B93">
            <v>8</v>
          </cell>
        </row>
        <row r="94">
          <cell r="B94">
            <v>4</v>
          </cell>
        </row>
        <row r="95">
          <cell r="B95">
            <v>14</v>
          </cell>
        </row>
        <row r="96">
          <cell r="B96">
            <v>3</v>
          </cell>
        </row>
        <row r="97">
          <cell r="B97">
            <v>12</v>
          </cell>
        </row>
        <row r="98">
          <cell r="B98">
            <v>5</v>
          </cell>
        </row>
        <row r="100">
          <cell r="B100">
            <v>2</v>
          </cell>
        </row>
        <row r="101">
          <cell r="B101">
            <v>11</v>
          </cell>
        </row>
        <row r="102">
          <cell r="B102">
            <v>6</v>
          </cell>
        </row>
        <row r="103">
          <cell r="B103">
            <v>19</v>
          </cell>
        </row>
        <row r="104">
          <cell r="B104">
            <v>7</v>
          </cell>
        </row>
        <row r="105">
          <cell r="B105">
            <v>25</v>
          </cell>
        </row>
        <row r="106">
          <cell r="B106">
            <v>12</v>
          </cell>
        </row>
        <row r="107">
          <cell r="B107">
            <v>15</v>
          </cell>
        </row>
        <row r="110">
          <cell r="B110">
            <v>18</v>
          </cell>
        </row>
        <row r="112">
          <cell r="B112">
            <v>0</v>
          </cell>
        </row>
        <row r="113">
          <cell r="B113">
            <v>16</v>
          </cell>
        </row>
        <row r="115">
          <cell r="B115">
            <v>22</v>
          </cell>
        </row>
        <row r="116">
          <cell r="B116">
            <v>4</v>
          </cell>
        </row>
        <row r="118">
          <cell r="B118">
            <v>23</v>
          </cell>
        </row>
        <row r="120">
          <cell r="B120">
            <v>12</v>
          </cell>
        </row>
        <row r="121">
          <cell r="B121">
            <v>4</v>
          </cell>
        </row>
        <row r="122">
          <cell r="B122">
            <v>6</v>
          </cell>
        </row>
      </sheetData>
      <sheetData sheetId="2">
        <row r="5">
          <cell r="B5">
            <v>30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over_page1"/>
      <sheetName val="pop"/>
      <sheetName val="births"/>
      <sheetName val="births_for_term_breakdown"/>
      <sheetName val="pop_(2)"/>
      <sheetName val="term_breakdown_-_ages_3,_4_&amp;_5"/>
      <sheetName val="Chart_Birth_Projection"/>
      <sheetName val="Chart_Birth_projection_%"/>
      <sheetName val="Comparison-Pop_Trends_(E&amp;W)"/>
      <sheetName val="Comparison-Pop_Trends_(E)"/>
      <sheetName val="Chart_1_to_15"/>
      <sheetName val="Chart_birth_term_breakdown_(%)"/>
      <sheetName val="Chart1_term_breakdown_(Num)"/>
      <sheetName val="cover_page"/>
      <sheetName val="cover page"/>
      <sheetName val="births for term breakdown"/>
      <sheetName val="pop (2)"/>
      <sheetName val="term breakdown - ages 3, 4 &amp; 5"/>
      <sheetName val="Chart Birth Projection"/>
      <sheetName val="Chart Birth projection %"/>
      <sheetName val="Comparison-Pop Trends (E&amp;W)"/>
      <sheetName val="Comparison-Pop Trends (E)"/>
      <sheetName val="Chart 1 to 15"/>
      <sheetName val="Chart birth term breakdown (%)"/>
      <sheetName val="Chart1 term breakdown (Num)"/>
      <sheetName val="cover_page3"/>
      <sheetName val="births_for_term_breakdown2"/>
      <sheetName val="pop_(2)2"/>
      <sheetName val="term_breakdown_-_ages_3,_4_&amp;_52"/>
      <sheetName val="Chart_Birth_Projection2"/>
      <sheetName val="Chart_Birth_projection_%2"/>
      <sheetName val="Comparison-Pop_Trends_(E&amp;W)2"/>
      <sheetName val="Comparison-Pop_Trends_(E)2"/>
      <sheetName val="Chart_1_to_152"/>
      <sheetName val="Chart_birth_term_breakdown_(%)2"/>
      <sheetName val="Chart1_term_breakdown_(Num)2"/>
      <sheetName val="cover_page2"/>
      <sheetName val="births_for_term_breakdown1"/>
      <sheetName val="pop_(2)1"/>
      <sheetName val="term_breakdown_-_ages_3,_4_&amp;_51"/>
      <sheetName val="Chart_Birth_Projection1"/>
      <sheetName val="Chart_Birth_projection_%1"/>
      <sheetName val="Comparison-Pop_Trends_(E&amp;W)1"/>
      <sheetName val="Comparison-Pop_Trends_(E)1"/>
      <sheetName val="Chart_1_to_151"/>
      <sheetName val="Chart_birth_term_breakdown_(%)1"/>
      <sheetName val="Chart1_term_breakdown_(Num)1"/>
    </sheetNames>
    <sheetDataSet>
      <sheetData sheetId="0" refreshError="1">
        <row r="5">
          <cell r="H5" t="str">
            <v>DME75</v>
          </cell>
        </row>
      </sheetData>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Local Factors"/>
      <sheetName val="Adjusted Factors"/>
      <sheetName val="14-15 final baselines"/>
      <sheetName val="Commentary"/>
      <sheetName val="Proforma"/>
      <sheetName val="De Delegation"/>
      <sheetName val="New ISB"/>
      <sheetName val="School level SB"/>
      <sheetName val="Recoupment"/>
      <sheetName val="Validation sheet"/>
      <sheetName val="Front_Sheet"/>
      <sheetName val="Schools_Block_Data"/>
      <sheetName val="14-15_submitted_baselines"/>
      <sheetName val="14-15_submitted_HN_places"/>
      <sheetName val="Inputs_&amp;_Adjustments"/>
      <sheetName val="Local_Factors"/>
      <sheetName val="Adjusted_Factors"/>
      <sheetName val="14-15_final_baselines"/>
      <sheetName val="De_Delegation"/>
      <sheetName val="New_ISB"/>
      <sheetName val="School_level_SB"/>
      <sheetName val="Validation_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F6" t="str">
            <v>Primary</v>
          </cell>
        </row>
      </sheetData>
      <sheetData sheetId="8" refreshError="1"/>
      <sheetData sheetId="9" refreshError="1"/>
      <sheetData sheetId="10">
        <row r="15">
          <cell r="D15" t="str">
            <v>FSM6 % Primary</v>
          </cell>
        </row>
      </sheetData>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row r="6">
          <cell r="F6" t="str">
            <v>Primary</v>
          </cell>
        </row>
      </sheetData>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
      <sheetName val="Home"/>
      <sheetName val="1617Proj"/>
      <sheetName val="2015-16 Summary"/>
      <sheetName val="2015-16 DSG allocations"/>
      <sheetName val="2015-16 HN places &amp; deductions"/>
      <sheetName val="2015-16 NRA cash transfer"/>
      <sheetName val="2015-16 additions"/>
      <sheetName val="LA Type"/>
      <sheetName val="2014-15 HN block baseline"/>
      <sheetName val="2015-16 HN block "/>
      <sheetName val="Residency to location"/>
      <sheetName val="Information_"/>
      <sheetName val="2015-16_Summary"/>
      <sheetName val="2015-16_DSG_allocations"/>
      <sheetName val="2015-16_HN_places_&amp;_deductions"/>
      <sheetName val="2015-16_NRA_cash_transfer"/>
      <sheetName val="2015-16_additions"/>
      <sheetName val="LA_Type"/>
      <sheetName val="2014-15_HN_block_baseline"/>
      <sheetName val="2015-16_HN_block_"/>
      <sheetName val="Residency_to_location"/>
    </sheetNames>
    <sheetDataSet>
      <sheetData sheetId="0"/>
      <sheetData sheetId="1">
        <row r="5">
          <cell r="F5" t="e">
            <v>#N/A</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7-18 funding floor baselines"/>
      <sheetName val="18-19 submitted baselines"/>
      <sheetName val="18-19 HN places"/>
      <sheetName val="Proposed Free Schools"/>
      <sheetName val="Inputs &amp; Adjustments"/>
      <sheetName val="Local Factors"/>
      <sheetName val="Adjusted Factors"/>
      <sheetName val="17-18 FF final baselines"/>
      <sheetName val="18-19 final baselines"/>
      <sheetName val="Commentary"/>
      <sheetName val="Proforma"/>
      <sheetName val="ProformaAggregation"/>
      <sheetName val="De Delegation"/>
      <sheetName val="Education Functions"/>
      <sheetName val="New ISB"/>
      <sheetName val="School level SB"/>
      <sheetName val="Recoupment"/>
      <sheetName val="Validatio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3">
          <cell r="D13">
            <v>3500</v>
          </cell>
        </row>
        <row r="72">
          <cell r="H72" t="str">
            <v>No</v>
          </cell>
          <cell r="L72"/>
        </row>
      </sheetData>
      <sheetData sheetId="14"/>
      <sheetData sheetId="15"/>
      <sheetData sheetId="16"/>
      <sheetData sheetId="17">
        <row r="5">
          <cell r="BJ5">
            <v>0</v>
          </cell>
        </row>
      </sheetData>
      <sheetData sheetId="18"/>
      <sheetData sheetId="19"/>
      <sheetData sheetId="2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6Students"/>
      <sheetName val="Oct14Census"/>
      <sheetName val="EOY1314"/>
      <sheetName val="NewISB"/>
      <sheetName val="NotSEN"/>
      <sheetName val="Statementsrevised"/>
      <sheetName val="HNList"/>
      <sheetName val="Statements"/>
      <sheetName val="HNtop-ups"/>
      <sheetName val="HNTopUps"/>
      <sheetName val="HNPlaces"/>
      <sheetName val="UIFSM"/>
      <sheetName val="DfERecoupNov14"/>
      <sheetName val="NEWS"/>
      <sheetName val="Home"/>
      <sheetName val="SchoolReport"/>
      <sheetName val="Post16"/>
      <sheetName val="Post16 Original"/>
      <sheetName val="P16FinYear"/>
      <sheetName val="EarlyYears"/>
      <sheetName val="MFG"/>
      <sheetName val="Pupils"/>
      <sheetName val="HNLinesDec"/>
      <sheetName val="StmtTopUps"/>
      <sheetName val="OtherTopups"/>
      <sheetName val="StmtTopUpsOrig"/>
      <sheetName val="HighNeeds"/>
      <sheetName val="HighNeeds Orig"/>
      <sheetName val="Infant FSM"/>
      <sheetName val="NotionalSEN"/>
      <sheetName val="Payments"/>
      <sheetName val="EarlyYearstrans"/>
      <sheetName val="EYFlexDep"/>
      <sheetName val="Early Years Data"/>
      <sheetName val="AutoDEC"/>
      <sheetName val="Instalments"/>
      <sheetName val="Comparisons"/>
      <sheetName val="AllSchools"/>
      <sheetName val="BarnetReport"/>
      <sheetName val="Opt B C D Apr-Jul 2014-15"/>
      <sheetName val="NNDR 13-14"/>
      <sheetName val="Medical"/>
      <sheetName val="Osidge"/>
      <sheetName val="DFC @ 12.06.14"/>
      <sheetName val="NNDR @ 12.06.14"/>
      <sheetName val="Post-16 Allocation 2014-15"/>
      <sheetName val="Barnet PPLAC"/>
      <sheetName val="AllHNTopups"/>
      <sheetName val="ADDPayments"/>
      <sheetName val="STMT13-14"/>
      <sheetName val="HNLines"/>
      <sheetName val="Final DFC"/>
      <sheetName val="InYearChanges"/>
      <sheetName val="ADDGRANT adj 28.10.14"/>
      <sheetName val="EY AUTA cross check"/>
      <sheetName val="DecHNadj"/>
      <sheetName val="DecHN"/>
      <sheetName val="Sheet9"/>
      <sheetName val="TRANS"/>
      <sheetName val="Rates"/>
      <sheetName val="Schools"/>
      <sheetName val="Autopayments"/>
      <sheetName val="Data"/>
      <sheetName val="CostCentres"/>
      <sheetName val="Colour Key, Tab Status &amp; Errors"/>
      <sheetName val="TRANSPivotadhoc"/>
      <sheetName val="RunSummary"/>
      <sheetName val="BUDMON"/>
      <sheetName val="Month4"/>
      <sheetName val="Month3"/>
      <sheetName val="SchACCMonthly"/>
      <sheetName val="SchAccRun"/>
      <sheetName val="Procedure"/>
      <sheetName val="Original BarnetReport "/>
      <sheetName val="Expansions"/>
      <sheetName val="EY SUMAADJ"/>
      <sheetName val="OtherTopups Original"/>
      <sheetName val="SchAccJul"/>
      <sheetName val="OptBCDbyCC"/>
      <sheetName val="OptionsBCD"/>
      <sheetName val="ChangeLog"/>
      <sheetName val="Journals"/>
      <sheetName val="MHCHS"/>
      <sheetName val="AutoSEP"/>
      <sheetName val="EASEN"/>
      <sheetName val="EYAutBal"/>
      <sheetName val="Medical2"/>
      <sheetName val="PPLAC"/>
      <sheetName val="AcadNNDRDec"/>
      <sheetName val="SALSAFE"/>
      <sheetName val="Sheet1"/>
      <sheetName val="Post16_Original"/>
      <sheetName val="HighNeeds_Orig"/>
      <sheetName val="Infant_FSM"/>
      <sheetName val="Early_Years_Data"/>
      <sheetName val="Opt_B_C_D_Apr-Jul_2014-15"/>
      <sheetName val="NNDR_13-14"/>
      <sheetName val="DFC_@_12_06_14"/>
      <sheetName val="NNDR_@_12_06_14"/>
      <sheetName val="Post-16_Allocation_2014-15"/>
      <sheetName val="Barnet_PPLAC"/>
      <sheetName val="Final_DFC"/>
      <sheetName val="ADDGRANT_adj_28_10_14"/>
      <sheetName val="EY_AUTA_cross_check"/>
      <sheetName val="Colour_Key,_Tab_Status_&amp;_Errors"/>
      <sheetName val="Original_BarnetReport_"/>
      <sheetName val="EY_SUMAADJ"/>
      <sheetName val="OtherTopups_Orig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
          <cell r="D9" t="str">
            <v>BARNET SCHOOL FUNDING - APR 2014 - MAR 2015 - Revised December 2014</v>
          </cell>
        </row>
        <row r="11">
          <cell r="H11">
            <v>41991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row r="15">
          <cell r="A15">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row r="15">
          <cell r="A15">
            <v>0</v>
          </cell>
        </row>
      </sheetData>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summary"/>
      <sheetName val="Budget Summary"/>
      <sheetName val="Commitment Summary"/>
      <sheetName val="Private &amp; Ind Residential"/>
      <sheetName val="Private &amp; Ind Schools"/>
      <sheetName val="Recoupment OLA Schools"/>
      <sheetName val="Academies"/>
      <sheetName val="Children's Centres"/>
      <sheetName val="Therapies"/>
      <sheetName val="Invest to Save"/>
      <sheetName val="Block Purchase"/>
      <sheetName val="Holidays &amp; Term Dates"/>
      <sheetName val="Client Data"/>
      <sheetName val="Provider Listing"/>
      <sheetName val="Vendor List"/>
      <sheetName val="Coding"/>
      <sheetName val="Notes"/>
      <sheetName val="Help"/>
      <sheetName val="Checks"/>
      <sheetName val="CC_summary"/>
      <sheetName val="Budget_Summary"/>
      <sheetName val="Commitment_Summary"/>
      <sheetName val="Private_&amp;_Ind_Residential"/>
      <sheetName val="Private_&amp;_Ind_Schools"/>
      <sheetName val="Recoupment_OLA_Schools"/>
      <sheetName val="Children's_Centres"/>
      <sheetName val="Invest_to_Save"/>
      <sheetName val="Block_Purchase"/>
      <sheetName val="Holidays_&amp;_Term_Dates"/>
      <sheetName val="Client_Data"/>
      <sheetName val="Provider_Listing"/>
      <sheetName val="Vendor_List"/>
    </sheetNames>
    <sheetDataSet>
      <sheetData sheetId="0"/>
      <sheetData sheetId="1"/>
      <sheetData sheetId="2"/>
      <sheetData sheetId="3"/>
      <sheetData sheetId="4"/>
      <sheetData sheetId="5"/>
      <sheetData sheetId="6"/>
      <sheetData sheetId="7"/>
      <sheetData sheetId="8"/>
      <sheetData sheetId="9"/>
      <sheetData sheetId="10"/>
      <sheetData sheetId="11">
        <row r="2">
          <cell r="M2">
            <v>41000</v>
          </cell>
          <cell r="O2">
            <v>41364</v>
          </cell>
        </row>
        <row r="3">
          <cell r="B3">
            <v>41001</v>
          </cell>
        </row>
        <row r="4">
          <cell r="B4">
            <v>41002</v>
          </cell>
        </row>
        <row r="5">
          <cell r="B5">
            <v>41003</v>
          </cell>
        </row>
        <row r="6">
          <cell r="B6">
            <v>41004</v>
          </cell>
        </row>
        <row r="7">
          <cell r="B7">
            <v>41005</v>
          </cell>
        </row>
        <row r="8">
          <cell r="B8">
            <v>41008</v>
          </cell>
        </row>
        <row r="9">
          <cell r="B9">
            <v>41009</v>
          </cell>
        </row>
        <row r="10">
          <cell r="B10">
            <v>41010</v>
          </cell>
        </row>
        <row r="11">
          <cell r="B11">
            <v>41011</v>
          </cell>
        </row>
        <row r="12">
          <cell r="B12">
            <v>41012</v>
          </cell>
        </row>
        <row r="13">
          <cell r="B13">
            <v>41036</v>
          </cell>
        </row>
        <row r="14">
          <cell r="B14">
            <v>41064</v>
          </cell>
        </row>
        <row r="15">
          <cell r="B15">
            <v>41065</v>
          </cell>
        </row>
        <row r="16">
          <cell r="B16">
            <v>41066</v>
          </cell>
        </row>
        <row r="17">
          <cell r="B17">
            <v>41067</v>
          </cell>
        </row>
        <row r="18">
          <cell r="B18">
            <v>41068</v>
          </cell>
        </row>
        <row r="19">
          <cell r="B19">
            <v>41114</v>
          </cell>
        </row>
        <row r="20">
          <cell r="B20">
            <v>41115</v>
          </cell>
        </row>
        <row r="21">
          <cell r="B21">
            <v>41116</v>
          </cell>
        </row>
        <row r="22">
          <cell r="B22">
            <v>41117</v>
          </cell>
        </row>
        <row r="23">
          <cell r="B23">
            <v>41120</v>
          </cell>
        </row>
        <row r="24">
          <cell r="B24">
            <v>41121</v>
          </cell>
        </row>
        <row r="25">
          <cell r="B25">
            <v>41122</v>
          </cell>
        </row>
        <row r="26">
          <cell r="B26">
            <v>41123</v>
          </cell>
        </row>
        <row r="27">
          <cell r="B27">
            <v>41124</v>
          </cell>
        </row>
        <row r="28">
          <cell r="B28">
            <v>41127</v>
          </cell>
        </row>
        <row r="29">
          <cell r="B29">
            <v>41128</v>
          </cell>
        </row>
        <row r="30">
          <cell r="B30">
            <v>41129</v>
          </cell>
        </row>
        <row r="31">
          <cell r="B31">
            <v>41130</v>
          </cell>
        </row>
        <row r="32">
          <cell r="B32">
            <v>41131</v>
          </cell>
        </row>
        <row r="33">
          <cell r="B33">
            <v>41134</v>
          </cell>
        </row>
        <row r="34">
          <cell r="B34">
            <v>41135</v>
          </cell>
        </row>
        <row r="35">
          <cell r="B35">
            <v>41136</v>
          </cell>
        </row>
        <row r="36">
          <cell r="B36">
            <v>41137</v>
          </cell>
        </row>
        <row r="37">
          <cell r="B37">
            <v>41138</v>
          </cell>
        </row>
        <row r="38">
          <cell r="B38">
            <v>41141</v>
          </cell>
        </row>
        <row r="39">
          <cell r="B39">
            <v>41142</v>
          </cell>
        </row>
        <row r="40">
          <cell r="B40">
            <v>41143</v>
          </cell>
        </row>
        <row r="41">
          <cell r="B41">
            <v>41144</v>
          </cell>
        </row>
        <row r="42">
          <cell r="B42">
            <v>41145</v>
          </cell>
        </row>
        <row r="43">
          <cell r="B43">
            <v>41148</v>
          </cell>
        </row>
        <row r="44">
          <cell r="B44">
            <v>41149</v>
          </cell>
        </row>
        <row r="45">
          <cell r="B45">
            <v>41150</v>
          </cell>
        </row>
        <row r="46">
          <cell r="B46">
            <v>41151</v>
          </cell>
        </row>
        <row r="47">
          <cell r="B47">
            <v>41152</v>
          </cell>
        </row>
        <row r="48">
          <cell r="B48">
            <v>41155</v>
          </cell>
        </row>
        <row r="49">
          <cell r="B49">
            <v>41211</v>
          </cell>
        </row>
        <row r="50">
          <cell r="B50">
            <v>41212</v>
          </cell>
        </row>
        <row r="51">
          <cell r="B51">
            <v>41213</v>
          </cell>
        </row>
        <row r="52">
          <cell r="B52">
            <v>41214</v>
          </cell>
        </row>
        <row r="53">
          <cell r="B53">
            <v>41215</v>
          </cell>
        </row>
        <row r="54">
          <cell r="B54">
            <v>41267</v>
          </cell>
        </row>
        <row r="55">
          <cell r="B55">
            <v>41268</v>
          </cell>
        </row>
        <row r="56">
          <cell r="B56">
            <v>41269</v>
          </cell>
        </row>
        <row r="57">
          <cell r="B57">
            <v>41270</v>
          </cell>
        </row>
        <row r="58">
          <cell r="B58">
            <v>41271</v>
          </cell>
        </row>
        <row r="59">
          <cell r="B59">
            <v>41274</v>
          </cell>
        </row>
        <row r="60">
          <cell r="B60">
            <v>41275</v>
          </cell>
        </row>
        <row r="61">
          <cell r="B61">
            <v>41276</v>
          </cell>
        </row>
        <row r="62">
          <cell r="B62">
            <v>41277</v>
          </cell>
        </row>
        <row r="63">
          <cell r="B63">
            <v>41278</v>
          </cell>
        </row>
        <row r="64">
          <cell r="B64">
            <v>41323</v>
          </cell>
        </row>
        <row r="65">
          <cell r="B65">
            <v>41324</v>
          </cell>
        </row>
        <row r="66">
          <cell r="B66">
            <v>41325</v>
          </cell>
        </row>
        <row r="67">
          <cell r="B67">
            <v>41326</v>
          </cell>
        </row>
        <row r="68">
          <cell r="B68">
            <v>41327</v>
          </cell>
        </row>
        <row r="69">
          <cell r="B69">
            <v>41362</v>
          </cell>
        </row>
        <row r="70">
          <cell r="B70">
            <v>41365</v>
          </cell>
        </row>
        <row r="71">
          <cell r="B71">
            <v>41366</v>
          </cell>
        </row>
        <row r="72">
          <cell r="B72">
            <v>41367</v>
          </cell>
        </row>
        <row r="73">
          <cell r="B73">
            <v>41368</v>
          </cell>
        </row>
        <row r="74">
          <cell r="B74">
            <v>41369</v>
          </cell>
        </row>
        <row r="75">
          <cell r="B75">
            <v>41372</v>
          </cell>
        </row>
        <row r="76">
          <cell r="B76">
            <v>41373</v>
          </cell>
        </row>
        <row r="77">
          <cell r="B77">
            <v>41374</v>
          </cell>
        </row>
        <row r="78">
          <cell r="B78">
            <v>41375</v>
          </cell>
        </row>
        <row r="79">
          <cell r="B79">
            <v>41376</v>
          </cell>
        </row>
        <row r="80">
          <cell r="B80">
            <v>41400</v>
          </cell>
        </row>
        <row r="81">
          <cell r="B81">
            <v>41421</v>
          </cell>
        </row>
        <row r="82">
          <cell r="B82">
            <v>41422</v>
          </cell>
        </row>
        <row r="83">
          <cell r="B83">
            <v>41423</v>
          </cell>
        </row>
        <row r="84">
          <cell r="B84">
            <v>41424</v>
          </cell>
        </row>
        <row r="85">
          <cell r="B85">
            <v>41425</v>
          </cell>
        </row>
        <row r="86">
          <cell r="B86">
            <v>41480</v>
          </cell>
        </row>
        <row r="87">
          <cell r="B87">
            <v>41481</v>
          </cell>
        </row>
        <row r="88">
          <cell r="B88">
            <v>41484</v>
          </cell>
        </row>
        <row r="89">
          <cell r="B89">
            <v>41485</v>
          </cell>
        </row>
        <row r="90">
          <cell r="B90">
            <v>41486</v>
          </cell>
        </row>
        <row r="91">
          <cell r="B91">
            <v>41487</v>
          </cell>
        </row>
        <row r="92">
          <cell r="B92">
            <v>41488</v>
          </cell>
        </row>
        <row r="93">
          <cell r="B93">
            <v>41491</v>
          </cell>
        </row>
        <row r="94">
          <cell r="B94">
            <v>41492</v>
          </cell>
        </row>
        <row r="95">
          <cell r="B95">
            <v>41493</v>
          </cell>
        </row>
        <row r="96">
          <cell r="B96">
            <v>41494</v>
          </cell>
        </row>
        <row r="97">
          <cell r="B97">
            <v>41495</v>
          </cell>
        </row>
        <row r="98">
          <cell r="B98">
            <v>41498</v>
          </cell>
        </row>
        <row r="99">
          <cell r="B99">
            <v>41499</v>
          </cell>
        </row>
        <row r="100">
          <cell r="B100">
            <v>41500</v>
          </cell>
        </row>
        <row r="101">
          <cell r="B101">
            <v>41501</v>
          </cell>
        </row>
        <row r="102">
          <cell r="B102">
            <v>41502</v>
          </cell>
        </row>
        <row r="103">
          <cell r="B103">
            <v>41505</v>
          </cell>
        </row>
        <row r="104">
          <cell r="B104">
            <v>41506</v>
          </cell>
        </row>
        <row r="105">
          <cell r="B105">
            <v>41507</v>
          </cell>
        </row>
        <row r="106">
          <cell r="B106">
            <v>41508</v>
          </cell>
        </row>
        <row r="107">
          <cell r="B107">
            <v>41509</v>
          </cell>
        </row>
        <row r="108">
          <cell r="B108">
            <v>41512</v>
          </cell>
        </row>
        <row r="109">
          <cell r="B109">
            <v>41513</v>
          </cell>
        </row>
        <row r="110">
          <cell r="B110">
            <v>41514</v>
          </cell>
        </row>
        <row r="111">
          <cell r="B111">
            <v>41515</v>
          </cell>
        </row>
        <row r="112">
          <cell r="B112">
            <v>41516</v>
          </cell>
        </row>
      </sheetData>
      <sheetData sheetId="12"/>
      <sheetData sheetId="13"/>
      <sheetData sheetId="14"/>
      <sheetData sheetId="15">
        <row r="4">
          <cell r="A4">
            <v>10194</v>
          </cell>
          <cell r="B4" t="str">
            <v>Therapy</v>
          </cell>
        </row>
        <row r="5">
          <cell r="A5">
            <v>10196</v>
          </cell>
          <cell r="B5" t="str">
            <v>Academies - SEN</v>
          </cell>
        </row>
        <row r="6">
          <cell r="A6">
            <v>10198</v>
          </cell>
          <cell r="B6" t="str">
            <v>Private &amp; Ind. Pre-school Mainstream</v>
          </cell>
        </row>
        <row r="7">
          <cell r="A7">
            <v>10199</v>
          </cell>
          <cell r="B7" t="str">
            <v>LB Barnet Children's Centres</v>
          </cell>
        </row>
        <row r="8">
          <cell r="A8">
            <v>10201</v>
          </cell>
          <cell r="B8" t="str">
            <v>Discovery Bay &amp; Northgate (incl recoupment income)</v>
          </cell>
        </row>
        <row r="9">
          <cell r="A9">
            <v>10202</v>
          </cell>
          <cell r="B9" t="str">
            <v>Private &amp; Ind. Day Mainstream</v>
          </cell>
        </row>
        <row r="10">
          <cell r="A10">
            <v>10204</v>
          </cell>
          <cell r="B10" t="str">
            <v>Private &amp; Ind. Day Special School</v>
          </cell>
        </row>
        <row r="11">
          <cell r="A11">
            <v>10206</v>
          </cell>
          <cell r="B11" t="str">
            <v>Private &amp; Ind. Residential Special School</v>
          </cell>
        </row>
        <row r="12">
          <cell r="A12">
            <v>10211</v>
          </cell>
          <cell r="B12" t="str">
            <v>Specialist Packages - Autistic Intervention (incl Home Tuition)</v>
          </cell>
        </row>
        <row r="13">
          <cell r="A13">
            <v>10290</v>
          </cell>
          <cell r="B13" t="str">
            <v>Recoupment OLA Primary Schools</v>
          </cell>
        </row>
        <row r="14">
          <cell r="A14">
            <v>10291</v>
          </cell>
          <cell r="B14" t="str">
            <v>Recoupment OLA Secondary Schools</v>
          </cell>
        </row>
        <row r="15">
          <cell r="A15">
            <v>10292</v>
          </cell>
          <cell r="B15" t="str">
            <v>Recoupment OLA Special Schools &amp; RPs</v>
          </cell>
        </row>
        <row r="16">
          <cell r="A16">
            <v>10201</v>
          </cell>
          <cell r="B16" t="str">
            <v xml:space="preserve">Discovery Bay &amp; Northgate </v>
          </cell>
        </row>
        <row r="17">
          <cell r="A17">
            <v>11295</v>
          </cell>
          <cell r="B17" t="str">
            <v>Therapies (NON - DSG)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row r="2">
          <cell r="M2">
            <v>41000</v>
          </cell>
        </row>
      </sheetData>
      <sheetData sheetId="29"/>
      <sheetData sheetId="30"/>
      <sheetData sheetId="3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upilDataChecking_302"/>
      <sheetName val="PlaceDataChecking_302 (12-13)"/>
      <sheetName val="HopsitalSchoolData_302"/>
      <sheetName val="PlaceDataChecking_302 (13-14)"/>
      <sheetName val="CodeSet"/>
      <sheetName val="PlaceDataChecking_302_(12-13)"/>
      <sheetName val="PlaceDataChecking_302_(13-14)"/>
    </sheetNames>
    <sheetDataSet>
      <sheetData sheetId="0"/>
      <sheetData sheetId="1"/>
      <sheetData sheetId="2"/>
      <sheetData sheetId="3"/>
      <sheetData sheetId="4"/>
      <sheetData sheetId="5">
        <row r="1">
          <cell r="A1" t="str">
            <v>N</v>
          </cell>
          <cell r="C1" t="str">
            <v>Nursery</v>
          </cell>
        </row>
        <row r="2">
          <cell r="A2" t="str">
            <v>Y</v>
          </cell>
          <cell r="C2" t="str">
            <v>Primary</v>
          </cell>
        </row>
        <row r="3">
          <cell r="C3" t="str">
            <v>Secondary</v>
          </cell>
        </row>
        <row r="4">
          <cell r="A4" t="str">
            <v>N</v>
          </cell>
          <cell r="C4" t="str">
            <v>Recoupment Academy</v>
          </cell>
        </row>
        <row r="5">
          <cell r="A5" t="str">
            <v>Y</v>
          </cell>
          <cell r="C5" t="str">
            <v>Non Recoupment Academy</v>
          </cell>
        </row>
        <row r="6">
          <cell r="A6" t="str">
            <v>n/a</v>
          </cell>
          <cell r="C6" t="str">
            <v>PRU</v>
          </cell>
        </row>
        <row r="7">
          <cell r="C7" t="str">
            <v>AP Academy</v>
          </cell>
        </row>
        <row r="8">
          <cell r="C8" t="str">
            <v>Other Maintained AP</v>
          </cell>
        </row>
        <row r="9">
          <cell r="C9" t="str">
            <v>Maintained Special</v>
          </cell>
        </row>
        <row r="10">
          <cell r="C10" t="str">
            <v>Special Academy</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BCOLS"/>
      <sheetName val="TRANSCOLS"/>
      <sheetName val="EY Summer trans"/>
      <sheetName val="EY Summer data"/>
      <sheetName val="EYData"/>
      <sheetName val="PP Summer"/>
      <sheetName val="PP Updates"/>
      <sheetName val="UIFSM Update"/>
      <sheetName val="UIFSM Summer"/>
      <sheetName val="SEN Summer Term"/>
      <sheetName val="NNDRAdj"/>
      <sheetName val="Structure"/>
      <sheetName val="JOUPivot"/>
      <sheetName val="JouSchedule"/>
      <sheetName val="Notes"/>
      <sheetName val="Federations"/>
      <sheetName val="SheetList"/>
      <sheetName val="FinalDFC"/>
      <sheetName val="TRANS2.3"/>
      <sheetName val="TRANSPY"/>
      <sheetName val="Rates"/>
      <sheetName val="Paydates"/>
      <sheetName val="HNplaces1920"/>
      <sheetName val="TopUpData"/>
      <sheetName val="Schools"/>
      <sheetName val="PayLookup"/>
      <sheetName val="PAYDATA"/>
      <sheetName val="GROWTHDATA"/>
      <sheetName val="MONAdvice"/>
      <sheetName val="MONPivot"/>
      <sheetName val="MonInvoices"/>
      <sheetName val="ADVPivot"/>
      <sheetName val="ADVSchedule"/>
      <sheetName val="MONCredits"/>
      <sheetName val="MONPivotClaim"/>
      <sheetName val="MonRec"/>
      <sheetName val="S251Analysis"/>
      <sheetName val="CCAnalysis"/>
      <sheetName val="S251Budget"/>
      <sheetName val="Costcentres"/>
      <sheetName val="Pupillist"/>
      <sheetName val="RunAnalysis"/>
      <sheetName val="TRANS3.1"/>
      <sheetName val="TRANS"/>
      <sheetName val="News"/>
      <sheetName val="TRANS1.1"/>
      <sheetName val="FinalTPG"/>
      <sheetName val="NoteA"/>
      <sheetName val="Choose"/>
      <sheetName val="TRANS1.0"/>
      <sheetName val="CFRcomp"/>
      <sheetName val="Comp"/>
      <sheetName val="PayMethods"/>
      <sheetName val="Home"/>
      <sheetName val="Payments"/>
      <sheetName val="Bank Funding"/>
      <sheetName val="CFR"/>
      <sheetName val="BudgetShare"/>
      <sheetName val="MFG"/>
      <sheetName val="Post16Adj"/>
      <sheetName val="SixthForm"/>
      <sheetName val="EarlyYears"/>
      <sheetName val="APTProForma"/>
      <sheetName val="Dedelegation"/>
      <sheetName val="EFunctions"/>
      <sheetName val="Adjusted Factors"/>
      <sheetName val="NEWISB"/>
      <sheetName val="HighNeeds"/>
      <sheetName val="TopUps"/>
      <sheetName val="HNRates"/>
      <sheetName val="Grants"/>
      <sheetName val="PupilPremium"/>
      <sheetName val="Pupils"/>
      <sheetName val="Growth"/>
      <sheetName val="Compare"/>
      <sheetName val="Oct17Census"/>
      <sheetName val="Oct18Census"/>
      <sheetName val="HeadRep"/>
      <sheetName val="HeadData"/>
      <sheetName val="TPG 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14">
          <cell r="A14" t="str">
            <v>Autumn Adjusted</v>
          </cell>
          <cell r="B14" t="str">
            <v>Version 4.1</v>
          </cell>
          <cell r="C14">
            <v>43740</v>
          </cell>
          <cell r="D14" t="str">
            <v>2018/19</v>
          </cell>
          <cell r="E14" t="str">
            <v>2019/20</v>
          </cell>
          <cell r="F14" t="str">
            <v>Mar 19</v>
          </cell>
        </row>
        <row r="16">
          <cell r="C16">
            <v>3022016</v>
          </cell>
          <cell r="D16" t="str">
            <v>No</v>
          </cell>
          <cell r="E16" t="str">
            <v>Yes</v>
          </cell>
          <cell r="F16">
            <v>0</v>
          </cell>
          <cell r="J16" t="str">
            <v>Courtland School</v>
          </cell>
        </row>
        <row r="18">
          <cell r="L18">
            <v>3022016</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Adjust0506"/>
      <sheetName val="Conting0506"/>
      <sheetName val="FinalAdjRep"/>
      <sheetName val="St M &amp; St J Sheet"/>
      <sheetName val="St Marys High"/>
      <sheetName val="Compare"/>
      <sheetName val="ISB Report"/>
      <sheetName val="Specials"/>
      <sheetName val="Overview"/>
      <sheetName val="alloc"/>
      <sheetName val="mfg"/>
      <sheetName val="rates"/>
      <sheetName val="data"/>
      <sheetName val="aen"/>
      <sheetName val="sen"/>
      <sheetName val="Mobility"/>
      <sheetName val="Resourced Schools"/>
      <sheetName val="Budget"/>
      <sheetName val="Summary"/>
      <sheetName val="Prim Rep"/>
      <sheetName val="Sec Rep"/>
      <sheetName val="Nurseries"/>
      <sheetName val="Primary YGs"/>
      <sheetName val="Secondary YGs"/>
      <sheetName val="Primary YGs Prot"/>
      <sheetName val="EMAG Comparison"/>
      <sheetName val="Profile"/>
      <sheetName val="TeresaGoodall"/>
      <sheetName val="Reorgs"/>
      <sheetName val="Reorg Details"/>
      <sheetName val="List of Adj's not used"/>
      <sheetName val="Remain Cont to Dist"/>
      <sheetName val="Excluded Pupils"/>
      <sheetName val="Excl Pupil Rebates"/>
      <sheetName val="Exc Reb Summary"/>
      <sheetName val="Value copy as at 10Feb "/>
      <sheetName val="sCRATCH"/>
      <sheetName val="Dist of SSC (redundant)"/>
      <sheetName val="St_M_&amp;_St_J_Sheet"/>
      <sheetName val="St_Marys_High"/>
      <sheetName val="ISB_Report"/>
      <sheetName val="Resourced_Schools"/>
      <sheetName val="Prim_Rep"/>
      <sheetName val="Sec_Rep"/>
      <sheetName val="Primary_YGs"/>
      <sheetName val="Secondary_YGs"/>
      <sheetName val="Primary_YGs_Prot"/>
      <sheetName val="EMAG_Comparison"/>
      <sheetName val="Reorg_Details"/>
      <sheetName val="List_of_Adj's_not_used"/>
      <sheetName val="Remain_Cont_to_Dist"/>
      <sheetName val="Excluded_Pupils"/>
      <sheetName val="Excl_Pupil_Rebates"/>
      <sheetName val="Exc_Reb_Summary"/>
      <sheetName val="Value_copy_as_at_10Feb_"/>
      <sheetName val="Dist_of_SSC_(redunda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Look up a school"/>
      <sheetName val="NFF all schools"/>
      <sheetName val="LA_School_Names"/>
    </sheetNames>
    <sheetDataSet>
      <sheetData sheetId="0"/>
      <sheetData sheetId="1"/>
      <sheetData sheetId="2"/>
      <sheetData sheetId="3">
        <row r="6">
          <cell r="A6" t="str">
            <v>[Please Select]</v>
          </cell>
        </row>
        <row r="7">
          <cell r="A7" t="str">
            <v>Barking and Dagenham</v>
          </cell>
        </row>
        <row r="8">
          <cell r="A8" t="str">
            <v>Barnet</v>
          </cell>
        </row>
        <row r="9">
          <cell r="A9" t="str">
            <v>Barnsley</v>
          </cell>
        </row>
        <row r="10">
          <cell r="A10" t="str">
            <v>Bath and North East Somerset</v>
          </cell>
        </row>
        <row r="11">
          <cell r="A11" t="str">
            <v>Bedford Borough</v>
          </cell>
        </row>
        <row r="12">
          <cell r="A12" t="str">
            <v>Bexley</v>
          </cell>
        </row>
        <row r="13">
          <cell r="A13" t="str">
            <v>Birmingham</v>
          </cell>
        </row>
        <row r="14">
          <cell r="A14" t="str">
            <v>Blackburn with Darwen</v>
          </cell>
        </row>
        <row r="15">
          <cell r="A15" t="str">
            <v>Blackpool</v>
          </cell>
        </row>
        <row r="16">
          <cell r="A16" t="str">
            <v>Bolton</v>
          </cell>
        </row>
        <row r="17">
          <cell r="A17" t="str">
            <v>Bournemouth</v>
          </cell>
        </row>
        <row r="18">
          <cell r="A18" t="str">
            <v>Bracknell Forest</v>
          </cell>
        </row>
        <row r="19">
          <cell r="A19" t="str">
            <v>Bradford</v>
          </cell>
        </row>
        <row r="20">
          <cell r="A20" t="str">
            <v>Brent</v>
          </cell>
        </row>
        <row r="21">
          <cell r="A21" t="str">
            <v>Brighton and Hove</v>
          </cell>
        </row>
        <row r="22">
          <cell r="A22" t="str">
            <v>Bristol, City of</v>
          </cell>
        </row>
        <row r="23">
          <cell r="A23" t="str">
            <v>Bromley</v>
          </cell>
        </row>
        <row r="24">
          <cell r="A24" t="str">
            <v>Buckinghamshire</v>
          </cell>
        </row>
        <row r="25">
          <cell r="A25" t="str">
            <v>Bury</v>
          </cell>
        </row>
        <row r="26">
          <cell r="A26" t="str">
            <v>Calderdale</v>
          </cell>
        </row>
        <row r="27">
          <cell r="A27" t="str">
            <v>Cambridgeshire</v>
          </cell>
        </row>
        <row r="28">
          <cell r="A28" t="str">
            <v>Camden</v>
          </cell>
        </row>
        <row r="29">
          <cell r="A29" t="str">
            <v>Central Bedfordshire</v>
          </cell>
        </row>
        <row r="30">
          <cell r="A30" t="str">
            <v>Cheshire East</v>
          </cell>
        </row>
        <row r="31">
          <cell r="A31" t="str">
            <v>Cheshire West And Chester</v>
          </cell>
        </row>
        <row r="32">
          <cell r="A32" t="str">
            <v>Cornwall</v>
          </cell>
        </row>
        <row r="33">
          <cell r="A33" t="str">
            <v>Coventry</v>
          </cell>
        </row>
        <row r="34">
          <cell r="A34" t="str">
            <v>Croydon</v>
          </cell>
        </row>
        <row r="35">
          <cell r="A35" t="str">
            <v>Cumbria</v>
          </cell>
        </row>
        <row r="36">
          <cell r="A36" t="str">
            <v>Darlington</v>
          </cell>
        </row>
        <row r="37">
          <cell r="A37" t="str">
            <v>Derby</v>
          </cell>
        </row>
        <row r="38">
          <cell r="A38" t="str">
            <v>Derbyshire</v>
          </cell>
        </row>
        <row r="39">
          <cell r="A39" t="str">
            <v>Devon</v>
          </cell>
        </row>
        <row r="40">
          <cell r="A40" t="str">
            <v>Doncaster</v>
          </cell>
        </row>
        <row r="41">
          <cell r="A41" t="str">
            <v>Dorset</v>
          </cell>
        </row>
        <row r="42">
          <cell r="A42" t="str">
            <v>Dudley</v>
          </cell>
        </row>
        <row r="43">
          <cell r="A43" t="str">
            <v>Durham</v>
          </cell>
        </row>
        <row r="44">
          <cell r="A44" t="str">
            <v>Ealing</v>
          </cell>
        </row>
        <row r="45">
          <cell r="A45" t="str">
            <v>East Riding of Yorkshire</v>
          </cell>
        </row>
        <row r="46">
          <cell r="A46" t="str">
            <v>East Sussex</v>
          </cell>
        </row>
        <row r="47">
          <cell r="A47" t="str">
            <v>Enfield</v>
          </cell>
        </row>
        <row r="48">
          <cell r="A48" t="str">
            <v>Essex</v>
          </cell>
        </row>
        <row r="49">
          <cell r="A49" t="str">
            <v>Gateshead</v>
          </cell>
        </row>
        <row r="50">
          <cell r="A50" t="str">
            <v>Gloucestershire</v>
          </cell>
        </row>
        <row r="51">
          <cell r="A51" t="str">
            <v>Greenwich</v>
          </cell>
        </row>
        <row r="52">
          <cell r="A52" t="str">
            <v>Hackney</v>
          </cell>
        </row>
        <row r="53">
          <cell r="A53" t="str">
            <v>Halton</v>
          </cell>
        </row>
        <row r="54">
          <cell r="A54" t="str">
            <v>Hammersmith and Fulham</v>
          </cell>
        </row>
        <row r="55">
          <cell r="A55" t="str">
            <v>Hampshire</v>
          </cell>
        </row>
        <row r="56">
          <cell r="A56" t="str">
            <v>Haringey</v>
          </cell>
        </row>
        <row r="57">
          <cell r="A57" t="str">
            <v>Harrow</v>
          </cell>
        </row>
        <row r="58">
          <cell r="A58" t="str">
            <v>Hartlepool</v>
          </cell>
        </row>
        <row r="59">
          <cell r="A59" t="str">
            <v>Havering</v>
          </cell>
        </row>
        <row r="60">
          <cell r="A60" t="str">
            <v>Herefordshire</v>
          </cell>
        </row>
        <row r="61">
          <cell r="A61" t="str">
            <v>Hertfordshire</v>
          </cell>
        </row>
        <row r="62">
          <cell r="A62" t="str">
            <v>Hillingdon</v>
          </cell>
        </row>
        <row r="63">
          <cell r="A63" t="str">
            <v>Hounslow</v>
          </cell>
        </row>
        <row r="64">
          <cell r="A64" t="str">
            <v>Isle of Wight</v>
          </cell>
        </row>
        <row r="65">
          <cell r="A65" t="str">
            <v>Islington</v>
          </cell>
        </row>
        <row r="66">
          <cell r="A66" t="str">
            <v>Kensington and Chelsea</v>
          </cell>
        </row>
        <row r="67">
          <cell r="A67" t="str">
            <v>Kent</v>
          </cell>
        </row>
        <row r="68">
          <cell r="A68" t="str">
            <v>Kingston upon Hull, City of</v>
          </cell>
        </row>
        <row r="69">
          <cell r="A69" t="str">
            <v>Kingston upon Thames</v>
          </cell>
        </row>
        <row r="70">
          <cell r="A70" t="str">
            <v>Kirklees</v>
          </cell>
        </row>
        <row r="71">
          <cell r="A71" t="str">
            <v>Knowsley</v>
          </cell>
        </row>
        <row r="72">
          <cell r="A72" t="str">
            <v>Lambeth</v>
          </cell>
        </row>
        <row r="73">
          <cell r="A73" t="str">
            <v>Lancashire</v>
          </cell>
        </row>
        <row r="74">
          <cell r="A74" t="str">
            <v>Leeds</v>
          </cell>
        </row>
        <row r="75">
          <cell r="A75" t="str">
            <v>Leicester</v>
          </cell>
        </row>
        <row r="76">
          <cell r="A76" t="str">
            <v>Leicestershire</v>
          </cell>
        </row>
        <row r="77">
          <cell r="A77" t="str">
            <v>Lewisham</v>
          </cell>
        </row>
        <row r="78">
          <cell r="A78" t="str">
            <v>Lincolnshire</v>
          </cell>
        </row>
        <row r="79">
          <cell r="A79" t="str">
            <v>Liverpool</v>
          </cell>
        </row>
        <row r="80">
          <cell r="A80" t="str">
            <v>Luton</v>
          </cell>
        </row>
        <row r="81">
          <cell r="A81" t="str">
            <v>Manchester</v>
          </cell>
        </row>
        <row r="82">
          <cell r="A82" t="str">
            <v>Medway</v>
          </cell>
        </row>
        <row r="83">
          <cell r="A83" t="str">
            <v>Merton</v>
          </cell>
        </row>
        <row r="84">
          <cell r="A84" t="str">
            <v>Middlesbrough</v>
          </cell>
        </row>
        <row r="85">
          <cell r="A85" t="str">
            <v>Milton Keynes</v>
          </cell>
        </row>
        <row r="86">
          <cell r="A86" t="str">
            <v>Newcastle upon Tyne</v>
          </cell>
        </row>
        <row r="87">
          <cell r="A87" t="str">
            <v>Newham</v>
          </cell>
        </row>
        <row r="88">
          <cell r="A88" t="str">
            <v>Norfolk</v>
          </cell>
        </row>
        <row r="89">
          <cell r="A89" t="str">
            <v>North East Lincolnshire</v>
          </cell>
        </row>
        <row r="90">
          <cell r="A90" t="str">
            <v>North Lincolnshire</v>
          </cell>
        </row>
        <row r="91">
          <cell r="A91" t="str">
            <v>North Somerset</v>
          </cell>
        </row>
        <row r="92">
          <cell r="A92" t="str">
            <v>North Tyneside</v>
          </cell>
        </row>
        <row r="93">
          <cell r="A93" t="str">
            <v>North Yorkshire</v>
          </cell>
        </row>
        <row r="94">
          <cell r="A94" t="str">
            <v>Northamptonshire</v>
          </cell>
        </row>
        <row r="95">
          <cell r="A95" t="str">
            <v>Northumberland</v>
          </cell>
        </row>
        <row r="96">
          <cell r="A96" t="str">
            <v>Nottingham</v>
          </cell>
        </row>
        <row r="97">
          <cell r="A97" t="str">
            <v>Nottinghamshire</v>
          </cell>
        </row>
        <row r="98">
          <cell r="A98" t="str">
            <v>Oldham</v>
          </cell>
        </row>
        <row r="99">
          <cell r="A99" t="str">
            <v>Oxfordshire</v>
          </cell>
        </row>
        <row r="100">
          <cell r="A100" t="str">
            <v>Peterborough</v>
          </cell>
        </row>
        <row r="101">
          <cell r="A101" t="str">
            <v>Plymouth</v>
          </cell>
        </row>
        <row r="102">
          <cell r="A102" t="str">
            <v>Poole</v>
          </cell>
        </row>
        <row r="103">
          <cell r="A103" t="str">
            <v>Portsmouth</v>
          </cell>
        </row>
        <row r="104">
          <cell r="A104" t="str">
            <v>Reading</v>
          </cell>
        </row>
        <row r="105">
          <cell r="A105" t="str">
            <v>Redbridge</v>
          </cell>
        </row>
        <row r="106">
          <cell r="A106" t="str">
            <v>Redcar and Cleveland</v>
          </cell>
        </row>
        <row r="107">
          <cell r="A107" t="str">
            <v>Richmond upon Thames</v>
          </cell>
        </row>
        <row r="108">
          <cell r="A108" t="str">
            <v>Rochdale</v>
          </cell>
        </row>
        <row r="109">
          <cell r="A109" t="str">
            <v>Rotherham</v>
          </cell>
        </row>
        <row r="110">
          <cell r="A110" t="str">
            <v>Rutland</v>
          </cell>
        </row>
        <row r="111">
          <cell r="A111" t="str">
            <v>Salford</v>
          </cell>
        </row>
        <row r="112">
          <cell r="A112" t="str">
            <v>Sandwell</v>
          </cell>
        </row>
        <row r="113">
          <cell r="A113" t="str">
            <v>Sefton</v>
          </cell>
        </row>
        <row r="114">
          <cell r="A114" t="str">
            <v>Sheffield</v>
          </cell>
        </row>
        <row r="115">
          <cell r="A115" t="str">
            <v>Shropshire</v>
          </cell>
        </row>
        <row r="116">
          <cell r="A116" t="str">
            <v>Slough</v>
          </cell>
        </row>
        <row r="117">
          <cell r="A117" t="str">
            <v>Solihull</v>
          </cell>
        </row>
        <row r="118">
          <cell r="A118" t="str">
            <v>Somerset</v>
          </cell>
        </row>
        <row r="119">
          <cell r="A119" t="str">
            <v>South Gloucestershire</v>
          </cell>
        </row>
        <row r="120">
          <cell r="A120" t="str">
            <v>South Tyneside</v>
          </cell>
        </row>
        <row r="121">
          <cell r="A121" t="str">
            <v>Southampton</v>
          </cell>
        </row>
        <row r="122">
          <cell r="A122" t="str">
            <v>Southend-on-Sea</v>
          </cell>
        </row>
        <row r="123">
          <cell r="A123" t="str">
            <v>Southwark</v>
          </cell>
        </row>
        <row r="124">
          <cell r="A124" t="str">
            <v>St Helens</v>
          </cell>
        </row>
        <row r="125">
          <cell r="A125" t="str">
            <v>Staffordshire</v>
          </cell>
        </row>
        <row r="126">
          <cell r="A126" t="str">
            <v>Stockport</v>
          </cell>
        </row>
        <row r="127">
          <cell r="A127" t="str">
            <v>Stockton-on-Tees</v>
          </cell>
        </row>
        <row r="128">
          <cell r="A128" t="str">
            <v>Stoke-on-Trent</v>
          </cell>
        </row>
        <row r="129">
          <cell r="A129" t="str">
            <v>Suffolk</v>
          </cell>
        </row>
        <row r="130">
          <cell r="A130" t="str">
            <v>Sunderland</v>
          </cell>
        </row>
        <row r="131">
          <cell r="A131" t="str">
            <v>Surrey</v>
          </cell>
        </row>
        <row r="132">
          <cell r="A132" t="str">
            <v>Sutton</v>
          </cell>
        </row>
        <row r="133">
          <cell r="A133" t="str">
            <v>Swindon</v>
          </cell>
        </row>
        <row r="134">
          <cell r="A134" t="str">
            <v>Tameside</v>
          </cell>
        </row>
        <row r="135">
          <cell r="A135" t="str">
            <v>Telford and Wrekin</v>
          </cell>
        </row>
        <row r="136">
          <cell r="A136" t="str">
            <v>Thurrock</v>
          </cell>
        </row>
        <row r="137">
          <cell r="A137" t="str">
            <v>Torbay</v>
          </cell>
        </row>
        <row r="138">
          <cell r="A138" t="str">
            <v>Tower Hamlets</v>
          </cell>
        </row>
        <row r="139">
          <cell r="A139" t="str">
            <v>Trafford</v>
          </cell>
        </row>
        <row r="140">
          <cell r="A140" t="str">
            <v>Wakefield</v>
          </cell>
        </row>
        <row r="141">
          <cell r="A141" t="str">
            <v>Walsall</v>
          </cell>
        </row>
        <row r="142">
          <cell r="A142" t="str">
            <v>Waltham Forest</v>
          </cell>
        </row>
        <row r="143">
          <cell r="A143" t="str">
            <v>Wandsworth</v>
          </cell>
        </row>
        <row r="144">
          <cell r="A144" t="str">
            <v>Warrington</v>
          </cell>
        </row>
        <row r="145">
          <cell r="A145" t="str">
            <v>Warwickshire</v>
          </cell>
        </row>
        <row r="146">
          <cell r="A146" t="str">
            <v>West Berkshire</v>
          </cell>
        </row>
        <row r="147">
          <cell r="A147" t="str">
            <v>West Sussex</v>
          </cell>
        </row>
        <row r="148">
          <cell r="A148" t="str">
            <v>Westminster</v>
          </cell>
        </row>
        <row r="149">
          <cell r="A149" t="str">
            <v>Wigan</v>
          </cell>
        </row>
        <row r="150">
          <cell r="A150" t="str">
            <v>Wiltshire</v>
          </cell>
        </row>
        <row r="151">
          <cell r="A151" t="str">
            <v>Windsor and Maidenhead</v>
          </cell>
        </row>
        <row r="152">
          <cell r="A152" t="str">
            <v>Wirral</v>
          </cell>
        </row>
        <row r="153">
          <cell r="A153" t="str">
            <v>Wokingham</v>
          </cell>
        </row>
        <row r="154">
          <cell r="A154" t="str">
            <v>Wolverhampton</v>
          </cell>
        </row>
        <row r="155">
          <cell r="A155" t="str">
            <v>Worcestershire</v>
          </cell>
        </row>
        <row r="156">
          <cell r="A156" t="str">
            <v>York</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Lookup tab"/>
      <sheetName val="Table 8"/>
      <sheetName val="Table_1"/>
      <sheetName val="Table_2"/>
      <sheetName val="Table_3"/>
      <sheetName val="Table_4"/>
      <sheetName val="Table_5"/>
      <sheetName val="Table_6"/>
      <sheetName val="Table_7"/>
      <sheetName val="Lookup_tab"/>
      <sheetName val="Table_8"/>
    </sheetNames>
    <sheetDataSet>
      <sheetData sheetId="0">
        <row r="21">
          <cell r="B21">
            <v>38583898.554800384</v>
          </cell>
        </row>
      </sheetData>
      <sheetData sheetId="1"/>
      <sheetData sheetId="2"/>
      <sheetData sheetId="3"/>
      <sheetData sheetId="4">
        <row r="40">
          <cell r="B40">
            <v>3498</v>
          </cell>
        </row>
      </sheetData>
      <sheetData sheetId="5">
        <row r="37">
          <cell r="B37">
            <v>41040.5</v>
          </cell>
        </row>
      </sheetData>
      <sheetData sheetId="6"/>
      <sheetData sheetId="7">
        <row r="2">
          <cell r="A2" t="str">
            <v>Select LA</v>
          </cell>
        </row>
        <row r="3">
          <cell r="A3">
            <v>201</v>
          </cell>
          <cell r="B3" t="str">
            <v>City of London</v>
          </cell>
        </row>
        <row r="4">
          <cell r="A4">
            <v>202</v>
          </cell>
          <cell r="B4" t="str">
            <v>Camden</v>
          </cell>
        </row>
        <row r="5">
          <cell r="A5">
            <v>203</v>
          </cell>
          <cell r="B5" t="str">
            <v>Greenwich</v>
          </cell>
        </row>
        <row r="6">
          <cell r="A6">
            <v>204</v>
          </cell>
          <cell r="B6" t="str">
            <v>Hackney</v>
          </cell>
        </row>
        <row r="7">
          <cell r="A7">
            <v>205</v>
          </cell>
          <cell r="B7" t="str">
            <v>Hammersmith and Fulham</v>
          </cell>
        </row>
        <row r="8">
          <cell r="A8">
            <v>206</v>
          </cell>
          <cell r="B8" t="str">
            <v>Islington</v>
          </cell>
        </row>
        <row r="9">
          <cell r="A9">
            <v>207</v>
          </cell>
          <cell r="B9" t="str">
            <v>Kensington and Chelsea</v>
          </cell>
        </row>
        <row r="10">
          <cell r="A10">
            <v>208</v>
          </cell>
          <cell r="B10" t="str">
            <v>Lambeth</v>
          </cell>
        </row>
        <row r="11">
          <cell r="A11">
            <v>209</v>
          </cell>
          <cell r="B11" t="str">
            <v>Lewisham</v>
          </cell>
        </row>
        <row r="12">
          <cell r="A12">
            <v>210</v>
          </cell>
          <cell r="B12" t="str">
            <v>Southwark</v>
          </cell>
        </row>
        <row r="13">
          <cell r="A13">
            <v>211</v>
          </cell>
          <cell r="B13" t="str">
            <v>Tower Hamlets</v>
          </cell>
        </row>
        <row r="14">
          <cell r="A14">
            <v>212</v>
          </cell>
          <cell r="B14" t="str">
            <v>Wandsworth</v>
          </cell>
        </row>
        <row r="15">
          <cell r="A15">
            <v>213</v>
          </cell>
          <cell r="B15" t="str">
            <v>Westminster</v>
          </cell>
        </row>
        <row r="16">
          <cell r="A16">
            <v>301</v>
          </cell>
          <cell r="B16" t="str">
            <v>Barking and Dagenham</v>
          </cell>
        </row>
        <row r="17">
          <cell r="A17">
            <v>302</v>
          </cell>
          <cell r="B17" t="str">
            <v>Barnet</v>
          </cell>
        </row>
        <row r="18">
          <cell r="A18">
            <v>303</v>
          </cell>
          <cell r="B18" t="str">
            <v>Bexley</v>
          </cell>
        </row>
        <row r="19">
          <cell r="A19">
            <v>304</v>
          </cell>
          <cell r="B19" t="str">
            <v>Brent</v>
          </cell>
        </row>
        <row r="20">
          <cell r="A20">
            <v>305</v>
          </cell>
          <cell r="B20" t="str">
            <v>Bromley</v>
          </cell>
        </row>
        <row r="21">
          <cell r="A21">
            <v>306</v>
          </cell>
          <cell r="B21" t="str">
            <v>Croydon</v>
          </cell>
        </row>
        <row r="22">
          <cell r="A22">
            <v>307</v>
          </cell>
          <cell r="B22" t="str">
            <v>Ealing</v>
          </cell>
        </row>
        <row r="23">
          <cell r="A23">
            <v>308</v>
          </cell>
          <cell r="B23" t="str">
            <v>Enfield</v>
          </cell>
        </row>
        <row r="24">
          <cell r="A24">
            <v>309</v>
          </cell>
          <cell r="B24" t="str">
            <v>Haringey</v>
          </cell>
        </row>
        <row r="25">
          <cell r="A25">
            <v>310</v>
          </cell>
          <cell r="B25" t="str">
            <v>Harrow</v>
          </cell>
        </row>
        <row r="26">
          <cell r="A26">
            <v>311</v>
          </cell>
          <cell r="B26" t="str">
            <v>Havering</v>
          </cell>
        </row>
        <row r="27">
          <cell r="A27">
            <v>312</v>
          </cell>
          <cell r="B27" t="str">
            <v>Hillingdon</v>
          </cell>
        </row>
        <row r="28">
          <cell r="A28">
            <v>313</v>
          </cell>
          <cell r="B28" t="str">
            <v>Hounslow</v>
          </cell>
        </row>
        <row r="29">
          <cell r="A29">
            <v>314</v>
          </cell>
          <cell r="B29" t="str">
            <v>Kingston upon Thames</v>
          </cell>
        </row>
        <row r="30">
          <cell r="A30">
            <v>315</v>
          </cell>
          <cell r="B30" t="str">
            <v>Merton</v>
          </cell>
        </row>
        <row r="31">
          <cell r="A31">
            <v>316</v>
          </cell>
          <cell r="B31" t="str">
            <v>Newham</v>
          </cell>
        </row>
        <row r="32">
          <cell r="A32">
            <v>317</v>
          </cell>
          <cell r="B32" t="str">
            <v>Redbridge</v>
          </cell>
        </row>
        <row r="33">
          <cell r="A33">
            <v>318</v>
          </cell>
          <cell r="B33" t="str">
            <v>Richmond upon Thames</v>
          </cell>
        </row>
        <row r="34">
          <cell r="A34">
            <v>319</v>
          </cell>
          <cell r="B34" t="str">
            <v>Sutton</v>
          </cell>
        </row>
        <row r="35">
          <cell r="A35">
            <v>320</v>
          </cell>
          <cell r="B35" t="str">
            <v>Waltham Forest</v>
          </cell>
        </row>
        <row r="36">
          <cell r="A36">
            <v>330</v>
          </cell>
          <cell r="B36" t="str">
            <v>Birmingham</v>
          </cell>
        </row>
        <row r="37">
          <cell r="A37">
            <v>331</v>
          </cell>
          <cell r="B37" t="str">
            <v>Coventry</v>
          </cell>
        </row>
        <row r="38">
          <cell r="A38">
            <v>332</v>
          </cell>
          <cell r="B38" t="str">
            <v>Dudley</v>
          </cell>
        </row>
        <row r="39">
          <cell r="A39">
            <v>333</v>
          </cell>
          <cell r="B39" t="str">
            <v>Sandwell</v>
          </cell>
        </row>
        <row r="40">
          <cell r="A40">
            <v>334</v>
          </cell>
          <cell r="B40" t="str">
            <v>Solihull</v>
          </cell>
        </row>
        <row r="41">
          <cell r="A41">
            <v>335</v>
          </cell>
          <cell r="B41" t="str">
            <v>Walsall</v>
          </cell>
        </row>
        <row r="42">
          <cell r="A42">
            <v>336</v>
          </cell>
          <cell r="B42" t="str">
            <v>Wolverhampton</v>
          </cell>
        </row>
        <row r="43">
          <cell r="A43">
            <v>340</v>
          </cell>
          <cell r="B43" t="str">
            <v>Knowsley</v>
          </cell>
        </row>
        <row r="44">
          <cell r="A44">
            <v>341</v>
          </cell>
          <cell r="B44" t="str">
            <v>Liverpool</v>
          </cell>
        </row>
        <row r="45">
          <cell r="A45">
            <v>342</v>
          </cell>
          <cell r="B45" t="str">
            <v>St Helens</v>
          </cell>
        </row>
        <row r="46">
          <cell r="A46">
            <v>343</v>
          </cell>
          <cell r="B46" t="str">
            <v>Sefton</v>
          </cell>
        </row>
        <row r="47">
          <cell r="A47">
            <v>344</v>
          </cell>
          <cell r="B47" t="str">
            <v>Wirral</v>
          </cell>
        </row>
        <row r="48">
          <cell r="A48">
            <v>350</v>
          </cell>
          <cell r="B48" t="str">
            <v>Bolton</v>
          </cell>
        </row>
        <row r="49">
          <cell r="A49">
            <v>351</v>
          </cell>
          <cell r="B49" t="str">
            <v>Bury</v>
          </cell>
        </row>
        <row r="50">
          <cell r="A50">
            <v>352</v>
          </cell>
          <cell r="B50" t="str">
            <v>Manchester</v>
          </cell>
        </row>
        <row r="51">
          <cell r="A51">
            <v>353</v>
          </cell>
          <cell r="B51" t="str">
            <v>Oldham</v>
          </cell>
        </row>
        <row r="52">
          <cell r="A52">
            <v>354</v>
          </cell>
          <cell r="B52" t="str">
            <v>Rochdale</v>
          </cell>
        </row>
        <row r="53">
          <cell r="A53">
            <v>355</v>
          </cell>
          <cell r="B53" t="str">
            <v>Salford</v>
          </cell>
        </row>
        <row r="54">
          <cell r="A54">
            <v>356</v>
          </cell>
          <cell r="B54" t="str">
            <v>Stockport</v>
          </cell>
        </row>
        <row r="55">
          <cell r="A55">
            <v>357</v>
          </cell>
          <cell r="B55" t="str">
            <v>Tameside</v>
          </cell>
        </row>
        <row r="56">
          <cell r="A56">
            <v>358</v>
          </cell>
          <cell r="B56" t="str">
            <v>Trafford</v>
          </cell>
        </row>
        <row r="57">
          <cell r="A57">
            <v>359</v>
          </cell>
          <cell r="B57" t="str">
            <v>Wigan</v>
          </cell>
        </row>
        <row r="58">
          <cell r="A58">
            <v>370</v>
          </cell>
          <cell r="B58" t="str">
            <v>Barnsley</v>
          </cell>
        </row>
        <row r="59">
          <cell r="A59">
            <v>371</v>
          </cell>
          <cell r="B59" t="str">
            <v>Doncaster</v>
          </cell>
        </row>
        <row r="60">
          <cell r="A60">
            <v>372</v>
          </cell>
          <cell r="B60" t="str">
            <v>Rotherham</v>
          </cell>
        </row>
        <row r="61">
          <cell r="A61">
            <v>373</v>
          </cell>
          <cell r="B61" t="str">
            <v>Sheffield</v>
          </cell>
        </row>
        <row r="62">
          <cell r="A62">
            <v>380</v>
          </cell>
          <cell r="B62" t="str">
            <v>Bradford</v>
          </cell>
        </row>
        <row r="63">
          <cell r="A63">
            <v>381</v>
          </cell>
          <cell r="B63" t="str">
            <v>Calderdale</v>
          </cell>
        </row>
        <row r="64">
          <cell r="A64">
            <v>382</v>
          </cell>
          <cell r="B64" t="str">
            <v>Kirklees</v>
          </cell>
        </row>
        <row r="65">
          <cell r="A65">
            <v>383</v>
          </cell>
          <cell r="B65" t="str">
            <v>Leeds</v>
          </cell>
        </row>
        <row r="66">
          <cell r="A66">
            <v>384</v>
          </cell>
          <cell r="B66" t="str">
            <v>Wakefield</v>
          </cell>
        </row>
        <row r="67">
          <cell r="A67">
            <v>390</v>
          </cell>
          <cell r="B67" t="str">
            <v>Gateshead</v>
          </cell>
        </row>
        <row r="68">
          <cell r="A68">
            <v>391</v>
          </cell>
          <cell r="B68" t="str">
            <v>Newcastle upon Tyne</v>
          </cell>
        </row>
        <row r="69">
          <cell r="A69">
            <v>392</v>
          </cell>
          <cell r="B69" t="str">
            <v>North Tyneside</v>
          </cell>
        </row>
        <row r="70">
          <cell r="A70">
            <v>393</v>
          </cell>
          <cell r="B70" t="str">
            <v>South Tyneside</v>
          </cell>
        </row>
        <row r="71">
          <cell r="A71">
            <v>394</v>
          </cell>
          <cell r="B71" t="str">
            <v>Sunderland</v>
          </cell>
        </row>
        <row r="72">
          <cell r="A72">
            <v>800</v>
          </cell>
          <cell r="B72" t="str">
            <v>Bath and North East Somerset</v>
          </cell>
        </row>
        <row r="73">
          <cell r="A73">
            <v>801</v>
          </cell>
          <cell r="B73" t="str">
            <v>Bristol City of</v>
          </cell>
        </row>
        <row r="74">
          <cell r="A74">
            <v>802</v>
          </cell>
          <cell r="B74" t="str">
            <v>North Somerset</v>
          </cell>
        </row>
        <row r="75">
          <cell r="A75">
            <v>803</v>
          </cell>
          <cell r="B75" t="str">
            <v>South Gloucestershire</v>
          </cell>
        </row>
        <row r="76">
          <cell r="A76">
            <v>805</v>
          </cell>
          <cell r="B76" t="str">
            <v>Hartlepool</v>
          </cell>
        </row>
        <row r="77">
          <cell r="A77">
            <v>806</v>
          </cell>
          <cell r="B77" t="str">
            <v>Middlesbrough</v>
          </cell>
        </row>
        <row r="78">
          <cell r="A78">
            <v>807</v>
          </cell>
          <cell r="B78" t="str">
            <v>Redcar and Cleveland</v>
          </cell>
        </row>
        <row r="79">
          <cell r="A79">
            <v>808</v>
          </cell>
          <cell r="B79" t="str">
            <v>Stockton-on-Tees</v>
          </cell>
        </row>
        <row r="80">
          <cell r="A80">
            <v>810</v>
          </cell>
          <cell r="B80" t="str">
            <v>Kingston upon Hull City of</v>
          </cell>
        </row>
        <row r="81">
          <cell r="A81">
            <v>811</v>
          </cell>
          <cell r="B81" t="str">
            <v>East Riding of Yorkshire</v>
          </cell>
        </row>
        <row r="82">
          <cell r="A82">
            <v>812</v>
          </cell>
          <cell r="B82" t="str">
            <v>North East Lincolnshire</v>
          </cell>
        </row>
        <row r="83">
          <cell r="A83">
            <v>813</v>
          </cell>
          <cell r="B83" t="str">
            <v>North Lincolnshire</v>
          </cell>
        </row>
        <row r="84">
          <cell r="A84">
            <v>815</v>
          </cell>
          <cell r="B84" t="str">
            <v>North Yorkshire</v>
          </cell>
        </row>
        <row r="85">
          <cell r="A85">
            <v>816</v>
          </cell>
          <cell r="B85" t="str">
            <v>York</v>
          </cell>
        </row>
        <row r="86">
          <cell r="A86">
            <v>821</v>
          </cell>
          <cell r="B86" t="str">
            <v>Luton</v>
          </cell>
        </row>
        <row r="87">
          <cell r="A87">
            <v>822</v>
          </cell>
          <cell r="B87" t="str">
            <v>Bedford Borough</v>
          </cell>
        </row>
        <row r="88">
          <cell r="A88">
            <v>823</v>
          </cell>
          <cell r="B88" t="str">
            <v>Central Bedfordshire</v>
          </cell>
        </row>
        <row r="89">
          <cell r="A89">
            <v>825</v>
          </cell>
          <cell r="B89" t="str">
            <v>Buckinghamshire</v>
          </cell>
        </row>
        <row r="90">
          <cell r="A90">
            <v>826</v>
          </cell>
          <cell r="B90" t="str">
            <v>Milton Keynes</v>
          </cell>
        </row>
        <row r="91">
          <cell r="A91">
            <v>830</v>
          </cell>
          <cell r="B91" t="str">
            <v>Derbyshire</v>
          </cell>
        </row>
        <row r="92">
          <cell r="A92">
            <v>831</v>
          </cell>
          <cell r="B92" t="str">
            <v>Derby</v>
          </cell>
        </row>
        <row r="93">
          <cell r="A93">
            <v>835</v>
          </cell>
          <cell r="B93" t="str">
            <v>Dorset</v>
          </cell>
        </row>
        <row r="94">
          <cell r="A94">
            <v>836</v>
          </cell>
          <cell r="B94" t="str">
            <v>Poole</v>
          </cell>
        </row>
        <row r="95">
          <cell r="A95">
            <v>837</v>
          </cell>
          <cell r="B95" t="str">
            <v>Bournemouth</v>
          </cell>
        </row>
        <row r="96">
          <cell r="A96">
            <v>840</v>
          </cell>
          <cell r="B96" t="str">
            <v>Durham</v>
          </cell>
        </row>
        <row r="97">
          <cell r="A97">
            <v>841</v>
          </cell>
          <cell r="B97" t="str">
            <v>Darlington</v>
          </cell>
        </row>
        <row r="98">
          <cell r="A98">
            <v>845</v>
          </cell>
          <cell r="B98" t="str">
            <v>East Sussex</v>
          </cell>
        </row>
        <row r="99">
          <cell r="A99">
            <v>846</v>
          </cell>
          <cell r="B99" t="str">
            <v>Brighton and Hove</v>
          </cell>
        </row>
        <row r="100">
          <cell r="A100">
            <v>850</v>
          </cell>
          <cell r="B100" t="str">
            <v>Hampshire</v>
          </cell>
        </row>
        <row r="101">
          <cell r="A101">
            <v>851</v>
          </cell>
          <cell r="B101" t="str">
            <v>Portsmouth</v>
          </cell>
        </row>
        <row r="102">
          <cell r="A102">
            <v>852</v>
          </cell>
          <cell r="B102" t="str">
            <v>Southampton</v>
          </cell>
        </row>
        <row r="103">
          <cell r="A103">
            <v>855</v>
          </cell>
          <cell r="B103" t="str">
            <v>Leicestershire</v>
          </cell>
        </row>
        <row r="104">
          <cell r="A104">
            <v>856</v>
          </cell>
          <cell r="B104" t="str">
            <v>Leicester</v>
          </cell>
        </row>
        <row r="105">
          <cell r="A105">
            <v>857</v>
          </cell>
          <cell r="B105" t="str">
            <v>Rutland</v>
          </cell>
        </row>
        <row r="106">
          <cell r="A106">
            <v>860</v>
          </cell>
          <cell r="B106" t="str">
            <v>Staffordshire</v>
          </cell>
        </row>
        <row r="107">
          <cell r="A107">
            <v>861</v>
          </cell>
          <cell r="B107" t="str">
            <v>Stoke-on-Trent</v>
          </cell>
        </row>
        <row r="108">
          <cell r="A108">
            <v>865</v>
          </cell>
          <cell r="B108" t="str">
            <v>Wiltshire</v>
          </cell>
        </row>
        <row r="109">
          <cell r="A109">
            <v>866</v>
          </cell>
          <cell r="B109" t="str">
            <v>Swindon</v>
          </cell>
        </row>
        <row r="110">
          <cell r="A110">
            <v>867</v>
          </cell>
          <cell r="B110" t="str">
            <v>Bracknell Forest</v>
          </cell>
        </row>
        <row r="111">
          <cell r="A111">
            <v>868</v>
          </cell>
          <cell r="B111" t="str">
            <v>Windsor and Maidenhead</v>
          </cell>
        </row>
        <row r="112">
          <cell r="A112">
            <v>869</v>
          </cell>
          <cell r="B112" t="str">
            <v>West Berkshire</v>
          </cell>
        </row>
        <row r="113">
          <cell r="A113">
            <v>870</v>
          </cell>
          <cell r="B113" t="str">
            <v>Reading</v>
          </cell>
        </row>
        <row r="114">
          <cell r="A114">
            <v>871</v>
          </cell>
          <cell r="B114" t="str">
            <v>Slough</v>
          </cell>
        </row>
        <row r="115">
          <cell r="A115">
            <v>872</v>
          </cell>
          <cell r="B115" t="str">
            <v>Wokingham</v>
          </cell>
        </row>
        <row r="116">
          <cell r="A116">
            <v>873</v>
          </cell>
          <cell r="B116" t="str">
            <v>Cambridgeshire</v>
          </cell>
        </row>
        <row r="117">
          <cell r="A117">
            <v>874</v>
          </cell>
          <cell r="B117" t="str">
            <v>Peterborough</v>
          </cell>
        </row>
        <row r="118">
          <cell r="A118">
            <v>876</v>
          </cell>
          <cell r="B118" t="str">
            <v>Halton</v>
          </cell>
        </row>
        <row r="119">
          <cell r="A119">
            <v>877</v>
          </cell>
          <cell r="B119" t="str">
            <v>Warrington</v>
          </cell>
        </row>
        <row r="120">
          <cell r="A120">
            <v>878</v>
          </cell>
          <cell r="B120" t="str">
            <v>Devon</v>
          </cell>
        </row>
        <row r="121">
          <cell r="A121">
            <v>879</v>
          </cell>
          <cell r="B121" t="str">
            <v>Plymouth</v>
          </cell>
        </row>
        <row r="122">
          <cell r="A122">
            <v>880</v>
          </cell>
          <cell r="B122" t="str">
            <v>Torbay</v>
          </cell>
        </row>
        <row r="123">
          <cell r="A123">
            <v>881</v>
          </cell>
          <cell r="B123" t="str">
            <v>Essex</v>
          </cell>
        </row>
        <row r="124">
          <cell r="A124">
            <v>882</v>
          </cell>
          <cell r="B124" t="str">
            <v>Southend-on-Sea</v>
          </cell>
        </row>
        <row r="125">
          <cell r="A125">
            <v>883</v>
          </cell>
          <cell r="B125" t="str">
            <v>Thurrock</v>
          </cell>
        </row>
        <row r="126">
          <cell r="A126">
            <v>884</v>
          </cell>
          <cell r="B126" t="str">
            <v>Herefordshire</v>
          </cell>
        </row>
        <row r="127">
          <cell r="A127">
            <v>885</v>
          </cell>
          <cell r="B127" t="str">
            <v>Worcestershire</v>
          </cell>
        </row>
        <row r="128">
          <cell r="A128">
            <v>886</v>
          </cell>
          <cell r="B128" t="str">
            <v>Kent</v>
          </cell>
        </row>
        <row r="129">
          <cell r="A129">
            <v>887</v>
          </cell>
          <cell r="B129" t="str">
            <v>Medway</v>
          </cell>
        </row>
        <row r="130">
          <cell r="A130">
            <v>888</v>
          </cell>
          <cell r="B130" t="str">
            <v>Lancashire</v>
          </cell>
        </row>
        <row r="131">
          <cell r="A131">
            <v>889</v>
          </cell>
          <cell r="B131" t="str">
            <v>Blackburn with Darwen</v>
          </cell>
        </row>
        <row r="132">
          <cell r="A132">
            <v>890</v>
          </cell>
          <cell r="B132" t="str">
            <v>Blackpool</v>
          </cell>
        </row>
        <row r="133">
          <cell r="A133">
            <v>891</v>
          </cell>
          <cell r="B133" t="str">
            <v>Nottinghamshire</v>
          </cell>
        </row>
        <row r="134">
          <cell r="A134">
            <v>892</v>
          </cell>
          <cell r="B134" t="str">
            <v>Nottingham</v>
          </cell>
        </row>
        <row r="135">
          <cell r="A135">
            <v>893</v>
          </cell>
          <cell r="B135" t="str">
            <v>Shropshire</v>
          </cell>
        </row>
        <row r="136">
          <cell r="A136">
            <v>894</v>
          </cell>
          <cell r="B136" t="str">
            <v>Telford and Wrekin</v>
          </cell>
        </row>
        <row r="137">
          <cell r="A137">
            <v>895</v>
          </cell>
          <cell r="B137" t="str">
            <v>Cheshire East</v>
          </cell>
        </row>
        <row r="138">
          <cell r="A138">
            <v>896</v>
          </cell>
          <cell r="B138" t="str">
            <v>Cheshire West and Chester</v>
          </cell>
        </row>
        <row r="139">
          <cell r="A139">
            <v>908</v>
          </cell>
          <cell r="B139" t="str">
            <v>Cornwall</v>
          </cell>
        </row>
        <row r="140">
          <cell r="A140">
            <v>909</v>
          </cell>
          <cell r="B140" t="str">
            <v>Cumbria</v>
          </cell>
        </row>
        <row r="141">
          <cell r="A141">
            <v>916</v>
          </cell>
          <cell r="B141" t="str">
            <v>Gloucestershire</v>
          </cell>
        </row>
        <row r="142">
          <cell r="A142">
            <v>919</v>
          </cell>
          <cell r="B142" t="str">
            <v>Hertfordshire</v>
          </cell>
        </row>
        <row r="143">
          <cell r="A143">
            <v>921</v>
          </cell>
          <cell r="B143" t="str">
            <v>Isle of Wight</v>
          </cell>
        </row>
        <row r="144">
          <cell r="A144">
            <v>925</v>
          </cell>
          <cell r="B144" t="str">
            <v>Lincolnshire</v>
          </cell>
        </row>
        <row r="145">
          <cell r="A145">
            <v>926</v>
          </cell>
          <cell r="B145" t="str">
            <v>Norfolk</v>
          </cell>
        </row>
        <row r="146">
          <cell r="A146">
            <v>928</v>
          </cell>
          <cell r="B146" t="str">
            <v>Northamptonshire</v>
          </cell>
        </row>
        <row r="147">
          <cell r="A147">
            <v>929</v>
          </cell>
          <cell r="B147" t="str">
            <v>Northumberland</v>
          </cell>
        </row>
        <row r="148">
          <cell r="A148">
            <v>931</v>
          </cell>
          <cell r="B148" t="str">
            <v>Oxfordshire</v>
          </cell>
        </row>
        <row r="149">
          <cell r="A149">
            <v>933</v>
          </cell>
          <cell r="B149" t="str">
            <v>Somerset</v>
          </cell>
        </row>
        <row r="150">
          <cell r="A150">
            <v>935</v>
          </cell>
          <cell r="B150" t="str">
            <v>Suffolk</v>
          </cell>
        </row>
        <row r="151">
          <cell r="A151">
            <v>936</v>
          </cell>
          <cell r="B151" t="str">
            <v>Surrey</v>
          </cell>
        </row>
        <row r="152">
          <cell r="A152">
            <v>937</v>
          </cell>
          <cell r="B152" t="str">
            <v>Warwickshire</v>
          </cell>
        </row>
        <row r="153">
          <cell r="A153">
            <v>938</v>
          </cell>
          <cell r="B153" t="str">
            <v>West Sussex</v>
          </cell>
        </row>
      </sheetData>
      <sheetData sheetId="8"/>
      <sheetData sheetId="9">
        <row r="21">
          <cell r="B21">
            <v>38583898.554800384</v>
          </cell>
        </row>
      </sheetData>
      <sheetData sheetId="10"/>
      <sheetData sheetId="11"/>
      <sheetData sheetId="12"/>
      <sheetData sheetId="13">
        <row r="40">
          <cell r="B40">
            <v>3498</v>
          </cell>
        </row>
      </sheetData>
      <sheetData sheetId="14">
        <row r="37">
          <cell r="B37">
            <v>41040.5</v>
          </cell>
        </row>
      </sheetData>
      <sheetData sheetId="15"/>
      <sheetData sheetId="16">
        <row r="2">
          <cell r="A2" t="str">
            <v>Select LA</v>
          </cell>
        </row>
      </sheetData>
      <sheetData sheetId="1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AdjustScaling"/>
      <sheetName val="UnitValues"/>
      <sheetName val="SchoolCalcs"/>
      <sheetName val="LA_Calcs"/>
      <sheetName val="OutputTable_LAs"/>
      <sheetName val="OutputTable_UnitValues"/>
      <sheetName val="Charts_AllLAs"/>
      <sheetName val="Chart_LAbudgetBreakdown"/>
      <sheetName val="SQLview_sorted"/>
      <sheetName val="ACA_District"/>
      <sheetName val="PupilProjections"/>
      <sheetName val="SBUFs_16-17_baseline"/>
      <sheetName val="Lists"/>
    </sheetNames>
    <sheetDataSet>
      <sheetData sheetId="0"/>
      <sheetData sheetId="1"/>
      <sheetData sheetId="2">
        <row r="6">
          <cell r="C6">
            <v>1</v>
          </cell>
        </row>
      </sheetData>
      <sheetData sheetId="3"/>
      <sheetData sheetId="4"/>
      <sheetData sheetId="5"/>
      <sheetData sheetId="6"/>
      <sheetData sheetId="7"/>
      <sheetData sheetId="8"/>
      <sheetData sheetId="9">
        <row r="2">
          <cell r="B2" t="str">
            <v>Devon</v>
          </cell>
        </row>
      </sheetData>
      <sheetData sheetId="10"/>
      <sheetData sheetId="11"/>
      <sheetData sheetId="12"/>
      <sheetData sheetId="13"/>
      <sheetData sheetId="1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
      <sheetName val="I) Proforma Jan13 DataSheet"/>
      <sheetName val="Look Up"/>
      <sheetName val="OLD_H) Commentary"/>
      <sheetName val="LALookup"/>
      <sheetName val="STORE_Fields"/>
      <sheetName val="I)_Proforma_Jan13_DataSheet"/>
      <sheetName val="Look_Up"/>
      <sheetName val="OLD_H)_Commentary"/>
    </sheetNames>
    <sheetDataSet>
      <sheetData sheetId="0"/>
      <sheetData sheetId="1"/>
      <sheetData sheetId="2"/>
      <sheetData sheetId="3"/>
      <sheetData sheetId="4">
        <row r="1">
          <cell r="A1">
            <v>929</v>
          </cell>
        </row>
      </sheetData>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oolsBlockData"/>
      <sheetName val="LALookup"/>
    </sheetNames>
    <sheetDataSet>
      <sheetData sheetId="0"/>
      <sheetData sheetId="1">
        <row r="3">
          <cell r="A3">
            <v>201</v>
          </cell>
          <cell r="B3" t="str">
            <v>City of London</v>
          </cell>
          <cell r="C3" t="str">
            <v>South</v>
          </cell>
          <cell r="D3" t="str">
            <v>North West London &amp; South Central</v>
          </cell>
        </row>
        <row r="4">
          <cell r="A4">
            <v>202</v>
          </cell>
          <cell r="B4" t="str">
            <v>Camden</v>
          </cell>
          <cell r="C4" t="str">
            <v>South</v>
          </cell>
          <cell r="D4" t="str">
            <v>North West London &amp; South Central</v>
          </cell>
        </row>
        <row r="5">
          <cell r="A5">
            <v>203</v>
          </cell>
          <cell r="B5" t="str">
            <v>Greenwich</v>
          </cell>
          <cell r="C5" t="str">
            <v>South</v>
          </cell>
          <cell r="D5" t="str">
            <v>South London &amp; South East</v>
          </cell>
        </row>
        <row r="6">
          <cell r="A6">
            <v>204</v>
          </cell>
          <cell r="B6" t="str">
            <v>Hackney</v>
          </cell>
          <cell r="C6" t="str">
            <v>South</v>
          </cell>
          <cell r="D6" t="str">
            <v>North East London &amp; East of England</v>
          </cell>
        </row>
        <row r="7">
          <cell r="A7">
            <v>205</v>
          </cell>
          <cell r="B7" t="str">
            <v>Hammersmith and Fulham</v>
          </cell>
          <cell r="C7" t="str">
            <v>South</v>
          </cell>
          <cell r="D7" t="str">
            <v>North West London &amp; South Central</v>
          </cell>
        </row>
        <row r="8">
          <cell r="A8">
            <v>206</v>
          </cell>
          <cell r="B8" t="str">
            <v>Islington</v>
          </cell>
          <cell r="C8" t="str">
            <v>South</v>
          </cell>
          <cell r="D8" t="str">
            <v>North West London &amp; South Central</v>
          </cell>
        </row>
        <row r="9">
          <cell r="A9">
            <v>207</v>
          </cell>
          <cell r="B9" t="str">
            <v>Kensington and Chelsea</v>
          </cell>
          <cell r="C9" t="str">
            <v>South</v>
          </cell>
          <cell r="D9" t="str">
            <v>North West London &amp; South Central</v>
          </cell>
        </row>
        <row r="10">
          <cell r="A10">
            <v>208</v>
          </cell>
          <cell r="B10" t="str">
            <v>Lambeth</v>
          </cell>
          <cell r="C10" t="str">
            <v>South</v>
          </cell>
          <cell r="D10" t="str">
            <v>South London &amp; South East</v>
          </cell>
        </row>
        <row r="11">
          <cell r="A11">
            <v>209</v>
          </cell>
          <cell r="B11" t="str">
            <v>Lewisham</v>
          </cell>
          <cell r="C11" t="str">
            <v>South</v>
          </cell>
          <cell r="D11" t="str">
            <v>South London &amp; South East</v>
          </cell>
        </row>
        <row r="12">
          <cell r="A12">
            <v>210</v>
          </cell>
          <cell r="B12" t="str">
            <v>Southwark</v>
          </cell>
          <cell r="C12" t="str">
            <v>South</v>
          </cell>
          <cell r="D12" t="str">
            <v>South London &amp; South East</v>
          </cell>
        </row>
        <row r="13">
          <cell r="A13">
            <v>211</v>
          </cell>
          <cell r="B13" t="str">
            <v>Tower Hamlets</v>
          </cell>
          <cell r="C13" t="str">
            <v>South</v>
          </cell>
          <cell r="D13" t="str">
            <v>North East London &amp; East of England</v>
          </cell>
        </row>
        <row r="14">
          <cell r="A14">
            <v>212</v>
          </cell>
          <cell r="B14" t="str">
            <v>Wandsworth</v>
          </cell>
          <cell r="C14" t="str">
            <v>South</v>
          </cell>
          <cell r="D14" t="str">
            <v>South London &amp; South East</v>
          </cell>
        </row>
        <row r="15">
          <cell r="A15">
            <v>213</v>
          </cell>
          <cell r="B15" t="str">
            <v>Westminster</v>
          </cell>
          <cell r="C15" t="str">
            <v>South</v>
          </cell>
          <cell r="D15" t="str">
            <v>North West London &amp; South Central</v>
          </cell>
        </row>
        <row r="16">
          <cell r="A16">
            <v>301</v>
          </cell>
          <cell r="B16" t="str">
            <v>Barking and Dagenham</v>
          </cell>
          <cell r="C16" t="str">
            <v>South</v>
          </cell>
          <cell r="D16" t="str">
            <v>North East London &amp; East of England</v>
          </cell>
        </row>
        <row r="17">
          <cell r="A17">
            <v>302</v>
          </cell>
          <cell r="B17" t="str">
            <v>Barnet</v>
          </cell>
          <cell r="C17" t="str">
            <v>South</v>
          </cell>
          <cell r="D17" t="str">
            <v>North West London &amp; South Central</v>
          </cell>
        </row>
        <row r="18">
          <cell r="A18">
            <v>303</v>
          </cell>
          <cell r="B18" t="str">
            <v>Bexley</v>
          </cell>
          <cell r="C18" t="str">
            <v>South</v>
          </cell>
          <cell r="D18" t="str">
            <v>South London &amp; South East</v>
          </cell>
        </row>
        <row r="19">
          <cell r="A19">
            <v>304</v>
          </cell>
          <cell r="B19" t="str">
            <v>Brent</v>
          </cell>
          <cell r="C19" t="str">
            <v>South</v>
          </cell>
          <cell r="D19" t="str">
            <v>North West London &amp; South Central</v>
          </cell>
        </row>
        <row r="20">
          <cell r="A20">
            <v>305</v>
          </cell>
          <cell r="B20" t="str">
            <v>Bromley</v>
          </cell>
          <cell r="C20" t="str">
            <v>South</v>
          </cell>
          <cell r="D20" t="str">
            <v>South London &amp; South East</v>
          </cell>
        </row>
        <row r="21">
          <cell r="A21">
            <v>306</v>
          </cell>
          <cell r="B21" t="str">
            <v>Croydon</v>
          </cell>
          <cell r="C21" t="str">
            <v>South</v>
          </cell>
          <cell r="D21" t="str">
            <v>South London &amp; South East</v>
          </cell>
        </row>
        <row r="22">
          <cell r="A22">
            <v>307</v>
          </cell>
          <cell r="B22" t="str">
            <v>Ealing</v>
          </cell>
          <cell r="C22" t="str">
            <v>South</v>
          </cell>
          <cell r="D22" t="str">
            <v>North West London &amp; South Central</v>
          </cell>
        </row>
        <row r="23">
          <cell r="A23">
            <v>308</v>
          </cell>
          <cell r="B23" t="str">
            <v>Enfield</v>
          </cell>
          <cell r="C23" t="str">
            <v>South</v>
          </cell>
          <cell r="D23" t="str">
            <v>North West London &amp; South Central</v>
          </cell>
        </row>
        <row r="24">
          <cell r="A24">
            <v>309</v>
          </cell>
          <cell r="B24" t="str">
            <v>Haringey</v>
          </cell>
          <cell r="C24" t="str">
            <v>South</v>
          </cell>
          <cell r="D24" t="str">
            <v>North East London &amp; East of England</v>
          </cell>
        </row>
        <row r="25">
          <cell r="A25">
            <v>310</v>
          </cell>
          <cell r="B25" t="str">
            <v>Harrow</v>
          </cell>
          <cell r="C25" t="str">
            <v>South</v>
          </cell>
          <cell r="D25" t="str">
            <v>North West London &amp; South Central</v>
          </cell>
        </row>
        <row r="26">
          <cell r="A26">
            <v>311</v>
          </cell>
          <cell r="B26" t="str">
            <v>Havering</v>
          </cell>
          <cell r="C26" t="str">
            <v>South</v>
          </cell>
          <cell r="D26" t="str">
            <v>North East London &amp; East of England</v>
          </cell>
        </row>
        <row r="27">
          <cell r="A27">
            <v>312</v>
          </cell>
          <cell r="B27" t="str">
            <v>Hillingdon</v>
          </cell>
          <cell r="C27" t="str">
            <v>South</v>
          </cell>
          <cell r="D27" t="str">
            <v>North West London &amp; South Central</v>
          </cell>
        </row>
        <row r="28">
          <cell r="A28">
            <v>313</v>
          </cell>
          <cell r="B28" t="str">
            <v>Hounslow</v>
          </cell>
          <cell r="C28" t="str">
            <v>South</v>
          </cell>
          <cell r="D28" t="str">
            <v>North West London &amp; South Central</v>
          </cell>
        </row>
        <row r="29">
          <cell r="A29">
            <v>314</v>
          </cell>
          <cell r="B29" t="str">
            <v>Kingston upon Thames</v>
          </cell>
          <cell r="C29" t="str">
            <v>South</v>
          </cell>
          <cell r="D29" t="str">
            <v>South London &amp; South East</v>
          </cell>
        </row>
        <row r="30">
          <cell r="A30">
            <v>315</v>
          </cell>
          <cell r="B30" t="str">
            <v>Merton</v>
          </cell>
          <cell r="C30" t="str">
            <v>South</v>
          </cell>
          <cell r="D30" t="str">
            <v>South London &amp; South East</v>
          </cell>
        </row>
        <row r="31">
          <cell r="A31">
            <v>316</v>
          </cell>
          <cell r="B31" t="str">
            <v>Newham</v>
          </cell>
          <cell r="C31" t="str">
            <v>South</v>
          </cell>
          <cell r="D31" t="str">
            <v>North East London &amp; East of England</v>
          </cell>
        </row>
        <row r="32">
          <cell r="A32">
            <v>317</v>
          </cell>
          <cell r="B32" t="str">
            <v>Redbridge</v>
          </cell>
          <cell r="C32" t="str">
            <v>South</v>
          </cell>
          <cell r="D32" t="str">
            <v>North East London &amp; East of England</v>
          </cell>
        </row>
        <row r="33">
          <cell r="A33">
            <v>318</v>
          </cell>
          <cell r="B33" t="str">
            <v>Richmond upon Thames</v>
          </cell>
          <cell r="C33" t="str">
            <v>South</v>
          </cell>
          <cell r="D33" t="str">
            <v>South London &amp; South East</v>
          </cell>
        </row>
        <row r="34">
          <cell r="A34">
            <v>319</v>
          </cell>
          <cell r="B34" t="str">
            <v>Sutton</v>
          </cell>
          <cell r="C34" t="str">
            <v>South</v>
          </cell>
          <cell r="D34" t="str">
            <v>South London &amp; South East</v>
          </cell>
        </row>
        <row r="35">
          <cell r="A35">
            <v>320</v>
          </cell>
          <cell r="B35" t="str">
            <v>Waltham Forest</v>
          </cell>
          <cell r="C35" t="str">
            <v>South</v>
          </cell>
          <cell r="D35" t="str">
            <v>North East London &amp; East of England</v>
          </cell>
        </row>
        <row r="36">
          <cell r="A36">
            <v>330</v>
          </cell>
          <cell r="B36" t="str">
            <v>Birmingham</v>
          </cell>
          <cell r="C36" t="str">
            <v>Central</v>
          </cell>
          <cell r="D36" t="str">
            <v>West Midlands</v>
          </cell>
        </row>
        <row r="37">
          <cell r="A37">
            <v>331</v>
          </cell>
          <cell r="B37" t="str">
            <v>Coventry</v>
          </cell>
          <cell r="C37" t="str">
            <v>Central</v>
          </cell>
          <cell r="D37" t="str">
            <v>West Midlands</v>
          </cell>
        </row>
        <row r="38">
          <cell r="A38">
            <v>332</v>
          </cell>
          <cell r="B38" t="str">
            <v>Dudley</v>
          </cell>
          <cell r="C38" t="str">
            <v>Central</v>
          </cell>
          <cell r="D38" t="str">
            <v>West Midlands</v>
          </cell>
        </row>
        <row r="39">
          <cell r="A39">
            <v>333</v>
          </cell>
          <cell r="B39" t="str">
            <v>Sandwell</v>
          </cell>
          <cell r="C39" t="str">
            <v>Central</v>
          </cell>
          <cell r="D39" t="str">
            <v>West Midlands</v>
          </cell>
        </row>
        <row r="40">
          <cell r="A40">
            <v>334</v>
          </cell>
          <cell r="B40" t="str">
            <v>Solihull</v>
          </cell>
          <cell r="C40" t="str">
            <v>Central</v>
          </cell>
          <cell r="D40" t="str">
            <v>West Midlands</v>
          </cell>
        </row>
        <row r="41">
          <cell r="A41">
            <v>335</v>
          </cell>
          <cell r="B41" t="str">
            <v>Walsall</v>
          </cell>
          <cell r="C41" t="str">
            <v>Central</v>
          </cell>
          <cell r="D41" t="str">
            <v>West Midlands</v>
          </cell>
        </row>
        <row r="42">
          <cell r="A42">
            <v>336</v>
          </cell>
          <cell r="B42" t="str">
            <v>Wolverhampton</v>
          </cell>
          <cell r="C42" t="str">
            <v>Central</v>
          </cell>
          <cell r="D42" t="str">
            <v>West Midlands</v>
          </cell>
        </row>
        <row r="43">
          <cell r="A43">
            <v>340</v>
          </cell>
          <cell r="B43" t="str">
            <v>Knowsley</v>
          </cell>
          <cell r="C43" t="str">
            <v>North</v>
          </cell>
          <cell r="D43" t="str">
            <v>Lancashire &amp; West Yorkshire</v>
          </cell>
        </row>
        <row r="44">
          <cell r="A44">
            <v>341</v>
          </cell>
          <cell r="B44" t="str">
            <v>Liverpool</v>
          </cell>
          <cell r="C44" t="str">
            <v>North</v>
          </cell>
          <cell r="D44" t="str">
            <v>Lancashire &amp; West Yorkshire</v>
          </cell>
        </row>
        <row r="45">
          <cell r="A45">
            <v>342</v>
          </cell>
          <cell r="B45" t="str">
            <v>St Helens</v>
          </cell>
          <cell r="C45" t="str">
            <v>North</v>
          </cell>
          <cell r="D45" t="str">
            <v>Lancashire &amp; West Yorkshire</v>
          </cell>
        </row>
        <row r="46">
          <cell r="A46">
            <v>343</v>
          </cell>
          <cell r="B46" t="str">
            <v>Sefton</v>
          </cell>
          <cell r="C46" t="str">
            <v>North</v>
          </cell>
          <cell r="D46" t="str">
            <v>Lancashire &amp; West Yorkshire</v>
          </cell>
        </row>
        <row r="47">
          <cell r="A47">
            <v>344</v>
          </cell>
          <cell r="B47" t="str">
            <v>Wirral</v>
          </cell>
          <cell r="C47" t="str">
            <v>North</v>
          </cell>
          <cell r="D47" t="str">
            <v>Lancashire &amp; West Yorkshire</v>
          </cell>
        </row>
        <row r="48">
          <cell r="A48">
            <v>350</v>
          </cell>
          <cell r="B48" t="str">
            <v>Bolton</v>
          </cell>
          <cell r="C48" t="str">
            <v>North</v>
          </cell>
          <cell r="D48" t="str">
            <v>Lancashire &amp; West Yorkshire</v>
          </cell>
        </row>
        <row r="49">
          <cell r="A49">
            <v>351</v>
          </cell>
          <cell r="B49" t="str">
            <v>Bury</v>
          </cell>
          <cell r="C49" t="str">
            <v>North</v>
          </cell>
          <cell r="D49" t="str">
            <v>Lancashire &amp; West Yorkshire</v>
          </cell>
        </row>
        <row r="50">
          <cell r="A50">
            <v>352</v>
          </cell>
          <cell r="B50" t="str">
            <v>Manchester</v>
          </cell>
          <cell r="C50" t="str">
            <v>North</v>
          </cell>
          <cell r="D50" t="str">
            <v>Lancashire &amp; West Yorkshire</v>
          </cell>
        </row>
        <row r="51">
          <cell r="A51">
            <v>353</v>
          </cell>
          <cell r="B51" t="str">
            <v>Oldham</v>
          </cell>
          <cell r="C51" t="str">
            <v>North</v>
          </cell>
          <cell r="D51" t="str">
            <v>Lancashire &amp; West Yorkshire</v>
          </cell>
        </row>
        <row r="52">
          <cell r="A52">
            <v>354</v>
          </cell>
          <cell r="B52" t="str">
            <v>Rochdale</v>
          </cell>
          <cell r="C52" t="str">
            <v>North</v>
          </cell>
          <cell r="D52" t="str">
            <v>Lancashire &amp; West Yorkshire</v>
          </cell>
        </row>
        <row r="53">
          <cell r="A53">
            <v>355</v>
          </cell>
          <cell r="B53" t="str">
            <v>Salford</v>
          </cell>
          <cell r="C53" t="str">
            <v>North</v>
          </cell>
          <cell r="D53" t="str">
            <v>Lancashire &amp; West Yorkshire</v>
          </cell>
        </row>
        <row r="54">
          <cell r="A54">
            <v>356</v>
          </cell>
          <cell r="B54" t="str">
            <v>Stockport</v>
          </cell>
          <cell r="C54" t="str">
            <v>North</v>
          </cell>
          <cell r="D54" t="str">
            <v>Lancashire &amp; West Yorkshire</v>
          </cell>
        </row>
        <row r="55">
          <cell r="A55">
            <v>357</v>
          </cell>
          <cell r="B55" t="str">
            <v>Tameside</v>
          </cell>
          <cell r="C55" t="str">
            <v>North</v>
          </cell>
          <cell r="D55" t="str">
            <v>Lancashire &amp; West Yorkshire</v>
          </cell>
        </row>
        <row r="56">
          <cell r="A56">
            <v>358</v>
          </cell>
          <cell r="B56" t="str">
            <v>Trafford</v>
          </cell>
          <cell r="C56" t="str">
            <v>North</v>
          </cell>
          <cell r="D56" t="str">
            <v>Lancashire &amp; West Yorkshire</v>
          </cell>
        </row>
        <row r="57">
          <cell r="A57">
            <v>359</v>
          </cell>
          <cell r="B57" t="str">
            <v>Wigan</v>
          </cell>
          <cell r="C57" t="str">
            <v>North</v>
          </cell>
          <cell r="D57" t="str">
            <v>Lancashire &amp; West Yorkshire</v>
          </cell>
        </row>
        <row r="58">
          <cell r="A58">
            <v>370</v>
          </cell>
          <cell r="B58" t="str">
            <v>Barnsley</v>
          </cell>
          <cell r="C58" t="str">
            <v>North</v>
          </cell>
          <cell r="D58" t="str">
            <v>East Midlands &amp; Humber</v>
          </cell>
        </row>
        <row r="59">
          <cell r="A59">
            <v>371</v>
          </cell>
          <cell r="B59" t="str">
            <v>Doncaster</v>
          </cell>
          <cell r="C59" t="str">
            <v>North</v>
          </cell>
          <cell r="D59" t="str">
            <v>East Midlands &amp; Humber</v>
          </cell>
        </row>
        <row r="60">
          <cell r="A60">
            <v>372</v>
          </cell>
          <cell r="B60" t="str">
            <v>Rotherham</v>
          </cell>
          <cell r="C60" t="str">
            <v>North</v>
          </cell>
          <cell r="D60" t="str">
            <v>East Midlands &amp; Humber</v>
          </cell>
        </row>
        <row r="61">
          <cell r="A61">
            <v>373</v>
          </cell>
          <cell r="B61" t="str">
            <v>Sheffield</v>
          </cell>
          <cell r="C61" t="str">
            <v>North</v>
          </cell>
          <cell r="D61" t="str">
            <v>East Midlands &amp; Humber</v>
          </cell>
        </row>
        <row r="62">
          <cell r="A62">
            <v>380</v>
          </cell>
          <cell r="B62" t="str">
            <v>Bradford</v>
          </cell>
          <cell r="C62" t="str">
            <v>North</v>
          </cell>
          <cell r="D62" t="str">
            <v>Lancashire &amp; West Yorkshire</v>
          </cell>
        </row>
        <row r="63">
          <cell r="A63">
            <v>381</v>
          </cell>
          <cell r="B63" t="str">
            <v>Calderdale</v>
          </cell>
          <cell r="C63" t="str">
            <v>North</v>
          </cell>
          <cell r="D63" t="str">
            <v>Lancashire &amp; West Yorkshire</v>
          </cell>
        </row>
        <row r="64">
          <cell r="A64">
            <v>382</v>
          </cell>
          <cell r="B64" t="str">
            <v>Kirklees</v>
          </cell>
          <cell r="C64" t="str">
            <v>North</v>
          </cell>
          <cell r="D64" t="str">
            <v>Lancashire &amp; West Yorkshire</v>
          </cell>
        </row>
        <row r="65">
          <cell r="A65">
            <v>383</v>
          </cell>
          <cell r="B65" t="str">
            <v>Leeds</v>
          </cell>
          <cell r="C65" t="str">
            <v>North</v>
          </cell>
          <cell r="D65" t="str">
            <v>Lancashire &amp; West Yorkshire</v>
          </cell>
        </row>
        <row r="66">
          <cell r="A66">
            <v>384</v>
          </cell>
          <cell r="B66" t="str">
            <v>Wakefield</v>
          </cell>
          <cell r="C66" t="str">
            <v>North</v>
          </cell>
          <cell r="D66" t="str">
            <v>Lancashire &amp; West Yorkshire</v>
          </cell>
        </row>
        <row r="67">
          <cell r="A67">
            <v>390</v>
          </cell>
          <cell r="B67" t="str">
            <v>Gateshead</v>
          </cell>
          <cell r="C67" t="str">
            <v>North</v>
          </cell>
          <cell r="D67" t="str">
            <v>North</v>
          </cell>
        </row>
        <row r="68">
          <cell r="A68">
            <v>391</v>
          </cell>
          <cell r="B68" t="str">
            <v>Newcastle upon Tyne</v>
          </cell>
          <cell r="C68" t="str">
            <v>North</v>
          </cell>
          <cell r="D68" t="str">
            <v>North</v>
          </cell>
        </row>
        <row r="69">
          <cell r="A69">
            <v>392</v>
          </cell>
          <cell r="B69" t="str">
            <v>North Tyneside</v>
          </cell>
          <cell r="C69" t="str">
            <v>North</v>
          </cell>
          <cell r="D69" t="str">
            <v>North</v>
          </cell>
        </row>
        <row r="70">
          <cell r="A70">
            <v>393</v>
          </cell>
          <cell r="B70" t="str">
            <v>South Tyneside</v>
          </cell>
          <cell r="C70" t="str">
            <v>North</v>
          </cell>
          <cell r="D70" t="str">
            <v>North</v>
          </cell>
        </row>
        <row r="71">
          <cell r="A71">
            <v>394</v>
          </cell>
          <cell r="B71" t="str">
            <v>Sunderland</v>
          </cell>
          <cell r="C71" t="str">
            <v>North</v>
          </cell>
          <cell r="D71" t="str">
            <v>North</v>
          </cell>
        </row>
        <row r="72">
          <cell r="A72">
            <v>420</v>
          </cell>
          <cell r="B72" t="str">
            <v>Isles of Scilly</v>
          </cell>
          <cell r="C72" t="str">
            <v>Central</v>
          </cell>
          <cell r="D72" t="str">
            <v>South West</v>
          </cell>
        </row>
        <row r="73">
          <cell r="A73">
            <v>800</v>
          </cell>
          <cell r="B73" t="str">
            <v>Bath and North East Somerset</v>
          </cell>
          <cell r="C73" t="str">
            <v>Central</v>
          </cell>
          <cell r="D73" t="str">
            <v>South West</v>
          </cell>
        </row>
        <row r="74">
          <cell r="A74">
            <v>801</v>
          </cell>
          <cell r="B74" t="str">
            <v>Bristol</v>
          </cell>
          <cell r="C74" t="str">
            <v>Central</v>
          </cell>
          <cell r="D74" t="str">
            <v>South West</v>
          </cell>
        </row>
        <row r="75">
          <cell r="A75">
            <v>802</v>
          </cell>
          <cell r="B75" t="str">
            <v>North Somerset</v>
          </cell>
          <cell r="C75" t="str">
            <v>Central</v>
          </cell>
          <cell r="D75" t="str">
            <v>South West</v>
          </cell>
        </row>
        <row r="76">
          <cell r="A76">
            <v>803</v>
          </cell>
          <cell r="B76" t="str">
            <v>South Gloucestershire</v>
          </cell>
          <cell r="C76" t="str">
            <v>Central</v>
          </cell>
          <cell r="D76" t="str">
            <v>South West</v>
          </cell>
        </row>
        <row r="77">
          <cell r="A77">
            <v>805</v>
          </cell>
          <cell r="B77" t="str">
            <v>Hartlepool</v>
          </cell>
          <cell r="C77" t="str">
            <v>North</v>
          </cell>
          <cell r="D77" t="str">
            <v>North</v>
          </cell>
        </row>
        <row r="78">
          <cell r="A78">
            <v>806</v>
          </cell>
          <cell r="B78" t="str">
            <v>Middlesbrough</v>
          </cell>
          <cell r="C78" t="str">
            <v>North</v>
          </cell>
          <cell r="D78" t="str">
            <v>North</v>
          </cell>
        </row>
        <row r="79">
          <cell r="A79">
            <v>807</v>
          </cell>
          <cell r="B79" t="str">
            <v>Redcar and Cleveland</v>
          </cell>
          <cell r="C79" t="str">
            <v>North</v>
          </cell>
          <cell r="D79" t="str">
            <v>North</v>
          </cell>
        </row>
        <row r="80">
          <cell r="A80">
            <v>808</v>
          </cell>
          <cell r="B80" t="str">
            <v>Stockton-on-Tees</v>
          </cell>
          <cell r="C80" t="str">
            <v>North</v>
          </cell>
          <cell r="D80" t="str">
            <v>North</v>
          </cell>
        </row>
        <row r="81">
          <cell r="A81">
            <v>810</v>
          </cell>
          <cell r="B81" t="str">
            <v>Kingston upon Hull</v>
          </cell>
          <cell r="C81" t="str">
            <v>North</v>
          </cell>
          <cell r="D81" t="str">
            <v>East Midlands &amp; Humber</v>
          </cell>
        </row>
        <row r="82">
          <cell r="A82">
            <v>811</v>
          </cell>
          <cell r="B82" t="str">
            <v>East Riding of Yorkshire</v>
          </cell>
          <cell r="C82" t="str">
            <v>North</v>
          </cell>
          <cell r="D82" t="str">
            <v>East Midlands &amp; Humber</v>
          </cell>
        </row>
        <row r="83">
          <cell r="A83">
            <v>812</v>
          </cell>
          <cell r="B83" t="str">
            <v>North East Lincolnshire</v>
          </cell>
          <cell r="C83" t="str">
            <v>North</v>
          </cell>
          <cell r="D83" t="str">
            <v>East Midlands &amp; Humber</v>
          </cell>
        </row>
        <row r="84">
          <cell r="A84">
            <v>813</v>
          </cell>
          <cell r="B84" t="str">
            <v>North Lincolnshire</v>
          </cell>
          <cell r="C84" t="str">
            <v>North</v>
          </cell>
          <cell r="D84" t="str">
            <v>East Midlands &amp; Humber</v>
          </cell>
        </row>
        <row r="85">
          <cell r="A85">
            <v>815</v>
          </cell>
          <cell r="B85" t="str">
            <v>North Yorkshire</v>
          </cell>
          <cell r="C85" t="str">
            <v>North</v>
          </cell>
          <cell r="D85" t="str">
            <v>North</v>
          </cell>
        </row>
        <row r="86">
          <cell r="A86">
            <v>816</v>
          </cell>
          <cell r="B86" t="str">
            <v>York</v>
          </cell>
          <cell r="C86" t="str">
            <v>North</v>
          </cell>
          <cell r="D86" t="str">
            <v>East Midlands &amp; Humber</v>
          </cell>
        </row>
        <row r="87">
          <cell r="A87">
            <v>821</v>
          </cell>
          <cell r="B87" t="str">
            <v>Luton</v>
          </cell>
          <cell r="C87" t="str">
            <v>South</v>
          </cell>
          <cell r="D87" t="str">
            <v>North West London &amp; South Central</v>
          </cell>
        </row>
        <row r="88">
          <cell r="A88">
            <v>822</v>
          </cell>
          <cell r="B88" t="str">
            <v>Bedford Borough</v>
          </cell>
          <cell r="C88" t="str">
            <v>South</v>
          </cell>
          <cell r="D88" t="str">
            <v>North West London &amp; South Central</v>
          </cell>
        </row>
        <row r="89">
          <cell r="A89">
            <v>823</v>
          </cell>
          <cell r="B89" t="str">
            <v>Central Bedfordshire</v>
          </cell>
          <cell r="C89" t="str">
            <v>South</v>
          </cell>
          <cell r="D89" t="str">
            <v>North West London &amp; South Central</v>
          </cell>
        </row>
        <row r="90">
          <cell r="A90">
            <v>825</v>
          </cell>
          <cell r="B90" t="str">
            <v>Buckinghamshire</v>
          </cell>
          <cell r="C90" t="str">
            <v>South</v>
          </cell>
          <cell r="D90" t="str">
            <v>North West London &amp; South Central</v>
          </cell>
        </row>
        <row r="91">
          <cell r="A91">
            <v>826</v>
          </cell>
          <cell r="B91" t="str">
            <v>Milton Keynes</v>
          </cell>
          <cell r="C91" t="str">
            <v>South</v>
          </cell>
          <cell r="D91" t="str">
            <v>North West London &amp; South Central</v>
          </cell>
        </row>
        <row r="92">
          <cell r="A92">
            <v>830</v>
          </cell>
          <cell r="B92" t="str">
            <v>Derbyshire</v>
          </cell>
          <cell r="C92" t="str">
            <v>Central</v>
          </cell>
          <cell r="D92" t="str">
            <v>East Midlands &amp; Humber</v>
          </cell>
        </row>
        <row r="93">
          <cell r="A93">
            <v>831</v>
          </cell>
          <cell r="B93" t="str">
            <v>Derby</v>
          </cell>
          <cell r="C93" t="str">
            <v>Central</v>
          </cell>
          <cell r="D93" t="str">
            <v>East Midlands &amp; Humber</v>
          </cell>
        </row>
        <row r="94">
          <cell r="A94">
            <v>835</v>
          </cell>
          <cell r="B94" t="str">
            <v>Dorset</v>
          </cell>
          <cell r="C94" t="str">
            <v>Central</v>
          </cell>
          <cell r="D94" t="str">
            <v>South West</v>
          </cell>
        </row>
        <row r="95">
          <cell r="A95">
            <v>836</v>
          </cell>
          <cell r="B95" t="str">
            <v>Poole</v>
          </cell>
          <cell r="C95" t="str">
            <v>Central</v>
          </cell>
          <cell r="D95" t="str">
            <v>South West</v>
          </cell>
        </row>
        <row r="96">
          <cell r="A96">
            <v>837</v>
          </cell>
          <cell r="B96" t="str">
            <v>Bournemouth</v>
          </cell>
          <cell r="C96" t="str">
            <v>Central</v>
          </cell>
          <cell r="D96" t="str">
            <v>South West</v>
          </cell>
        </row>
        <row r="97">
          <cell r="A97">
            <v>840</v>
          </cell>
          <cell r="B97" t="str">
            <v>Durham</v>
          </cell>
          <cell r="C97" t="str">
            <v>North</v>
          </cell>
          <cell r="D97" t="str">
            <v>North</v>
          </cell>
        </row>
        <row r="98">
          <cell r="A98">
            <v>841</v>
          </cell>
          <cell r="B98" t="str">
            <v>Darlington</v>
          </cell>
          <cell r="C98" t="str">
            <v>North</v>
          </cell>
          <cell r="D98" t="str">
            <v>North</v>
          </cell>
        </row>
        <row r="99">
          <cell r="A99">
            <v>845</v>
          </cell>
          <cell r="B99" t="str">
            <v>East Sussex</v>
          </cell>
          <cell r="C99" t="str">
            <v>South</v>
          </cell>
          <cell r="D99" t="str">
            <v>South London &amp; South East</v>
          </cell>
        </row>
        <row r="100">
          <cell r="A100">
            <v>846</v>
          </cell>
          <cell r="B100" t="str">
            <v>Brighton and Hove</v>
          </cell>
          <cell r="C100" t="str">
            <v>South</v>
          </cell>
          <cell r="D100" t="str">
            <v>South London &amp; South East</v>
          </cell>
        </row>
        <row r="101">
          <cell r="A101">
            <v>850</v>
          </cell>
          <cell r="B101" t="str">
            <v>Hampshire</v>
          </cell>
          <cell r="C101" t="str">
            <v>South</v>
          </cell>
          <cell r="D101" t="str">
            <v>South London &amp; South East</v>
          </cell>
        </row>
        <row r="102">
          <cell r="A102">
            <v>851</v>
          </cell>
          <cell r="B102" t="str">
            <v>Portsmouth</v>
          </cell>
          <cell r="C102" t="str">
            <v>South</v>
          </cell>
          <cell r="D102" t="str">
            <v>South London &amp; South East</v>
          </cell>
        </row>
        <row r="103">
          <cell r="A103">
            <v>852</v>
          </cell>
          <cell r="B103" t="str">
            <v>Southampton</v>
          </cell>
          <cell r="C103" t="str">
            <v>South</v>
          </cell>
          <cell r="D103" t="str">
            <v>South London &amp; South East</v>
          </cell>
        </row>
        <row r="104">
          <cell r="A104">
            <v>855</v>
          </cell>
          <cell r="B104" t="str">
            <v>Leicestershire</v>
          </cell>
          <cell r="C104" t="str">
            <v>Central</v>
          </cell>
          <cell r="D104" t="str">
            <v>East Midlands &amp; Humber</v>
          </cell>
        </row>
        <row r="105">
          <cell r="A105">
            <v>856</v>
          </cell>
          <cell r="B105" t="str">
            <v>Leicester</v>
          </cell>
          <cell r="C105" t="str">
            <v>Central</v>
          </cell>
          <cell r="D105" t="str">
            <v>East Midlands &amp; Humber</v>
          </cell>
        </row>
        <row r="106">
          <cell r="A106">
            <v>857</v>
          </cell>
          <cell r="B106" t="str">
            <v>Rutland</v>
          </cell>
          <cell r="C106" t="str">
            <v>Central</v>
          </cell>
          <cell r="D106" t="str">
            <v>East Midlands &amp; Humber</v>
          </cell>
        </row>
        <row r="107">
          <cell r="A107">
            <v>860</v>
          </cell>
          <cell r="B107" t="str">
            <v>Staffordshire</v>
          </cell>
          <cell r="C107" t="str">
            <v>Central</v>
          </cell>
          <cell r="D107" t="str">
            <v>West Midlands</v>
          </cell>
        </row>
        <row r="108">
          <cell r="A108">
            <v>861</v>
          </cell>
          <cell r="B108" t="str">
            <v>Stoke-on-Trent</v>
          </cell>
          <cell r="C108" t="str">
            <v>Central</v>
          </cell>
          <cell r="D108" t="str">
            <v>West Midlands</v>
          </cell>
        </row>
        <row r="109">
          <cell r="A109">
            <v>865</v>
          </cell>
          <cell r="B109" t="str">
            <v>Wiltshire</v>
          </cell>
          <cell r="C109" t="str">
            <v>Central</v>
          </cell>
          <cell r="D109" t="str">
            <v>South West</v>
          </cell>
        </row>
        <row r="110">
          <cell r="A110">
            <v>866</v>
          </cell>
          <cell r="B110" t="str">
            <v>Swindon</v>
          </cell>
          <cell r="C110" t="str">
            <v>Central</v>
          </cell>
          <cell r="D110" t="str">
            <v>South West</v>
          </cell>
        </row>
        <row r="111">
          <cell r="A111">
            <v>867</v>
          </cell>
          <cell r="B111" t="str">
            <v>Bracknell Forest</v>
          </cell>
          <cell r="C111" t="str">
            <v>South</v>
          </cell>
          <cell r="D111" t="str">
            <v>North West London &amp; South Central</v>
          </cell>
        </row>
        <row r="112">
          <cell r="A112">
            <v>868</v>
          </cell>
          <cell r="B112" t="str">
            <v>Windsor and Maidenhead</v>
          </cell>
          <cell r="C112" t="str">
            <v>South</v>
          </cell>
          <cell r="D112" t="str">
            <v>North West London &amp; South Central</v>
          </cell>
        </row>
        <row r="113">
          <cell r="A113">
            <v>869</v>
          </cell>
          <cell r="B113" t="str">
            <v>West Berkshire</v>
          </cell>
          <cell r="C113" t="str">
            <v>South</v>
          </cell>
          <cell r="D113" t="str">
            <v>North West London &amp; South Central</v>
          </cell>
        </row>
        <row r="114">
          <cell r="A114">
            <v>870</v>
          </cell>
          <cell r="B114" t="str">
            <v>Reading</v>
          </cell>
          <cell r="C114" t="str">
            <v>South</v>
          </cell>
          <cell r="D114" t="str">
            <v>North West London &amp; South Central</v>
          </cell>
        </row>
        <row r="115">
          <cell r="A115">
            <v>871</v>
          </cell>
          <cell r="B115" t="str">
            <v>Slough</v>
          </cell>
          <cell r="C115" t="str">
            <v>South</v>
          </cell>
          <cell r="D115" t="str">
            <v>North West London &amp; South Central</v>
          </cell>
        </row>
        <row r="116">
          <cell r="A116">
            <v>872</v>
          </cell>
          <cell r="B116" t="str">
            <v>Wokingham</v>
          </cell>
          <cell r="C116" t="str">
            <v>South</v>
          </cell>
          <cell r="D116" t="str">
            <v>North West London &amp; South Central</v>
          </cell>
        </row>
        <row r="117">
          <cell r="A117">
            <v>873</v>
          </cell>
          <cell r="B117" t="str">
            <v>Cambridgeshire</v>
          </cell>
          <cell r="C117" t="str">
            <v>South</v>
          </cell>
          <cell r="D117" t="str">
            <v>North East London &amp; East of England</v>
          </cell>
        </row>
        <row r="118">
          <cell r="A118">
            <v>874</v>
          </cell>
          <cell r="B118" t="str">
            <v>Peterborough</v>
          </cell>
          <cell r="C118" t="str">
            <v>South</v>
          </cell>
          <cell r="D118" t="str">
            <v>North East London &amp; East of England</v>
          </cell>
        </row>
        <row r="119">
          <cell r="A119">
            <v>876</v>
          </cell>
          <cell r="B119" t="str">
            <v>Halton</v>
          </cell>
          <cell r="C119" t="str">
            <v>North</v>
          </cell>
          <cell r="D119" t="str">
            <v>Lancashire &amp; West Yorkshire</v>
          </cell>
        </row>
        <row r="120">
          <cell r="A120">
            <v>877</v>
          </cell>
          <cell r="B120" t="str">
            <v>Warrington</v>
          </cell>
          <cell r="C120" t="str">
            <v>North</v>
          </cell>
          <cell r="D120" t="str">
            <v>Lancashire &amp; West Yorkshire</v>
          </cell>
        </row>
        <row r="121">
          <cell r="A121">
            <v>878</v>
          </cell>
          <cell r="B121" t="str">
            <v>Devon</v>
          </cell>
          <cell r="C121" t="str">
            <v>Central</v>
          </cell>
          <cell r="D121" t="str">
            <v>South West</v>
          </cell>
        </row>
        <row r="122">
          <cell r="A122">
            <v>879</v>
          </cell>
          <cell r="B122" t="str">
            <v>Plymouth</v>
          </cell>
          <cell r="C122" t="str">
            <v>Central</v>
          </cell>
          <cell r="D122" t="str">
            <v>South West</v>
          </cell>
        </row>
        <row r="123">
          <cell r="A123">
            <v>880</v>
          </cell>
          <cell r="B123" t="str">
            <v>Torbay</v>
          </cell>
          <cell r="C123" t="str">
            <v>Central</v>
          </cell>
          <cell r="D123" t="str">
            <v>South West</v>
          </cell>
        </row>
        <row r="124">
          <cell r="A124">
            <v>881</v>
          </cell>
          <cell r="B124" t="str">
            <v>Essex</v>
          </cell>
          <cell r="C124" t="str">
            <v>South</v>
          </cell>
          <cell r="D124" t="str">
            <v>North East London &amp; East of England</v>
          </cell>
        </row>
        <row r="125">
          <cell r="A125">
            <v>882</v>
          </cell>
          <cell r="B125" t="str">
            <v>Southend on Sea</v>
          </cell>
          <cell r="C125" t="str">
            <v>South</v>
          </cell>
          <cell r="D125" t="str">
            <v>North East London &amp; East of England</v>
          </cell>
        </row>
        <row r="126">
          <cell r="A126">
            <v>883</v>
          </cell>
          <cell r="B126" t="str">
            <v>Thurrock</v>
          </cell>
          <cell r="C126" t="str">
            <v>South</v>
          </cell>
          <cell r="D126" t="str">
            <v>North East London &amp; East of England</v>
          </cell>
        </row>
        <row r="127">
          <cell r="A127">
            <v>884</v>
          </cell>
          <cell r="B127" t="str">
            <v>Herefordshire</v>
          </cell>
          <cell r="C127" t="str">
            <v>Central</v>
          </cell>
          <cell r="D127" t="str">
            <v>West Midlands</v>
          </cell>
        </row>
        <row r="128">
          <cell r="A128">
            <v>885</v>
          </cell>
          <cell r="B128" t="str">
            <v>Worcestershire</v>
          </cell>
          <cell r="C128" t="str">
            <v>Central</v>
          </cell>
          <cell r="D128" t="str">
            <v>West Midlands</v>
          </cell>
        </row>
        <row r="129">
          <cell r="A129">
            <v>886</v>
          </cell>
          <cell r="B129" t="str">
            <v>Kent</v>
          </cell>
          <cell r="C129" t="str">
            <v>South</v>
          </cell>
          <cell r="D129" t="str">
            <v>South London &amp; South East</v>
          </cell>
        </row>
        <row r="130">
          <cell r="A130">
            <v>887</v>
          </cell>
          <cell r="B130" t="str">
            <v>Medway</v>
          </cell>
          <cell r="C130" t="str">
            <v>South</v>
          </cell>
          <cell r="D130" t="str">
            <v>South London &amp; South East</v>
          </cell>
        </row>
        <row r="131">
          <cell r="A131">
            <v>888</v>
          </cell>
          <cell r="B131" t="str">
            <v>Lancashire</v>
          </cell>
          <cell r="C131" t="str">
            <v>North</v>
          </cell>
          <cell r="D131" t="str">
            <v>Lancashire &amp; West Yorkshire</v>
          </cell>
        </row>
        <row r="132">
          <cell r="A132">
            <v>889</v>
          </cell>
          <cell r="B132" t="str">
            <v>Blackburn with Darwen</v>
          </cell>
          <cell r="C132" t="str">
            <v>North</v>
          </cell>
          <cell r="D132" t="str">
            <v>Lancashire &amp; West Yorkshire</v>
          </cell>
        </row>
        <row r="133">
          <cell r="A133">
            <v>890</v>
          </cell>
          <cell r="B133" t="str">
            <v>Blackpool</v>
          </cell>
          <cell r="C133" t="str">
            <v>North</v>
          </cell>
          <cell r="D133" t="str">
            <v>Lancashire &amp; West Yorkshire</v>
          </cell>
        </row>
        <row r="134">
          <cell r="A134">
            <v>891</v>
          </cell>
          <cell r="B134" t="str">
            <v>Nottinghamshire</v>
          </cell>
          <cell r="C134" t="str">
            <v>Central</v>
          </cell>
          <cell r="D134" t="str">
            <v>East Midlands &amp; Humber</v>
          </cell>
        </row>
        <row r="135">
          <cell r="A135">
            <v>892</v>
          </cell>
          <cell r="B135" t="str">
            <v>Nottingham</v>
          </cell>
          <cell r="C135" t="str">
            <v>Central</v>
          </cell>
          <cell r="D135" t="str">
            <v>East Midlands &amp; Humber</v>
          </cell>
        </row>
        <row r="136">
          <cell r="A136">
            <v>893</v>
          </cell>
          <cell r="B136" t="str">
            <v>Shropshire</v>
          </cell>
          <cell r="C136" t="str">
            <v>Central</v>
          </cell>
          <cell r="D136" t="str">
            <v>West Midlands</v>
          </cell>
        </row>
        <row r="137">
          <cell r="A137">
            <v>894</v>
          </cell>
          <cell r="B137" t="str">
            <v>Telford and Wrekin</v>
          </cell>
          <cell r="C137" t="str">
            <v>Central</v>
          </cell>
          <cell r="D137" t="str">
            <v>West Midlands</v>
          </cell>
        </row>
        <row r="138">
          <cell r="A138">
            <v>895</v>
          </cell>
          <cell r="B138" t="str">
            <v>Cheshire East</v>
          </cell>
          <cell r="C138" t="str">
            <v>North</v>
          </cell>
          <cell r="D138" t="str">
            <v>West Midlands</v>
          </cell>
        </row>
        <row r="139">
          <cell r="A139">
            <v>896</v>
          </cell>
          <cell r="B139" t="str">
            <v>Cheshire West And Chester</v>
          </cell>
          <cell r="C139" t="str">
            <v>North</v>
          </cell>
          <cell r="D139" t="str">
            <v>West Midlands</v>
          </cell>
        </row>
        <row r="140">
          <cell r="A140">
            <v>908</v>
          </cell>
          <cell r="B140" t="str">
            <v>Cornwall</v>
          </cell>
          <cell r="C140" t="str">
            <v>Central</v>
          </cell>
          <cell r="D140" t="str">
            <v>South West</v>
          </cell>
        </row>
        <row r="141">
          <cell r="A141">
            <v>909</v>
          </cell>
          <cell r="B141" t="str">
            <v>Cumbria</v>
          </cell>
          <cell r="C141" t="str">
            <v>North</v>
          </cell>
          <cell r="D141" t="str">
            <v>North</v>
          </cell>
        </row>
        <row r="142">
          <cell r="A142">
            <v>916</v>
          </cell>
          <cell r="B142" t="str">
            <v>Gloucestershire</v>
          </cell>
          <cell r="C142" t="str">
            <v>Central</v>
          </cell>
          <cell r="D142" t="str">
            <v>South West</v>
          </cell>
        </row>
        <row r="143">
          <cell r="A143">
            <v>919</v>
          </cell>
          <cell r="B143" t="str">
            <v>Hertfordshire</v>
          </cell>
          <cell r="C143" t="str">
            <v>South</v>
          </cell>
          <cell r="D143" t="str">
            <v>North West London &amp; South Central</v>
          </cell>
        </row>
        <row r="144">
          <cell r="A144">
            <v>921</v>
          </cell>
          <cell r="B144" t="str">
            <v>Isle of Wight</v>
          </cell>
          <cell r="C144" t="str">
            <v>South</v>
          </cell>
          <cell r="D144" t="str">
            <v>South London &amp; South East</v>
          </cell>
        </row>
        <row r="145">
          <cell r="A145">
            <v>925</v>
          </cell>
          <cell r="B145" t="str">
            <v>Lincolnshire</v>
          </cell>
          <cell r="C145" t="str">
            <v>Central</v>
          </cell>
          <cell r="D145" t="str">
            <v>East Midlands &amp; Humber</v>
          </cell>
        </row>
        <row r="146">
          <cell r="A146">
            <v>926</v>
          </cell>
          <cell r="B146" t="str">
            <v>Norfolk</v>
          </cell>
          <cell r="C146" t="str">
            <v>South</v>
          </cell>
          <cell r="D146" t="str">
            <v>North East London &amp; East of England</v>
          </cell>
        </row>
        <row r="147">
          <cell r="A147">
            <v>928</v>
          </cell>
          <cell r="B147" t="str">
            <v>Northamptonshire</v>
          </cell>
          <cell r="C147" t="str">
            <v>Central</v>
          </cell>
          <cell r="D147" t="str">
            <v>North West London &amp; South Central</v>
          </cell>
        </row>
        <row r="148">
          <cell r="A148">
            <v>929</v>
          </cell>
          <cell r="B148" t="str">
            <v>Northumberland</v>
          </cell>
          <cell r="C148" t="str">
            <v>North</v>
          </cell>
          <cell r="D148" t="str">
            <v>North</v>
          </cell>
        </row>
        <row r="149">
          <cell r="A149">
            <v>931</v>
          </cell>
          <cell r="B149" t="str">
            <v>Oxfordshire</v>
          </cell>
          <cell r="C149" t="str">
            <v>South</v>
          </cell>
          <cell r="D149" t="str">
            <v>North West London &amp; South Central</v>
          </cell>
        </row>
        <row r="150">
          <cell r="A150">
            <v>933</v>
          </cell>
          <cell r="B150" t="str">
            <v>Somerset</v>
          </cell>
          <cell r="C150" t="str">
            <v>Central</v>
          </cell>
          <cell r="D150" t="str">
            <v>South West</v>
          </cell>
        </row>
        <row r="151">
          <cell r="A151">
            <v>935</v>
          </cell>
          <cell r="B151" t="str">
            <v>Suffolk</v>
          </cell>
          <cell r="C151" t="str">
            <v>South</v>
          </cell>
          <cell r="D151" t="str">
            <v>North East London &amp; East of England</v>
          </cell>
        </row>
        <row r="152">
          <cell r="A152">
            <v>936</v>
          </cell>
          <cell r="B152" t="str">
            <v>Surrey</v>
          </cell>
          <cell r="C152" t="str">
            <v>South</v>
          </cell>
          <cell r="D152" t="str">
            <v>South London &amp; South East</v>
          </cell>
        </row>
        <row r="153">
          <cell r="A153">
            <v>937</v>
          </cell>
          <cell r="B153" t="str">
            <v>Warwickshire</v>
          </cell>
          <cell r="C153" t="str">
            <v>Central</v>
          </cell>
          <cell r="D153" t="str">
            <v>West Midlands</v>
          </cell>
        </row>
        <row r="154">
          <cell r="A154">
            <v>938</v>
          </cell>
          <cell r="B154" t="str">
            <v>West Sussex</v>
          </cell>
          <cell r="C154" t="str">
            <v>South</v>
          </cell>
          <cell r="D154" t="str">
            <v>South London &amp; South East</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row r="6">
          <cell r="BR6" t="str">
            <v>School closed prior to 1 April 2015</v>
          </cell>
        </row>
      </sheetData>
      <sheetData sheetId="6">
        <row r="4">
          <cell r="AC4" t="str">
            <v>15-16 Approved Exceptional  Circumstance 1:
Reserved for Additional lump sum for schools amalgamated during  FY14-15</v>
          </cell>
        </row>
      </sheetData>
      <sheetData sheetId="7">
        <row r="6">
          <cell r="C6">
            <v>103153</v>
          </cell>
        </row>
      </sheetData>
      <sheetData sheetId="8"/>
      <sheetData sheetId="9"/>
      <sheetData sheetId="10">
        <row r="9">
          <cell r="E9" t="str">
            <v>No</v>
          </cell>
        </row>
        <row r="30">
          <cell r="D30" t="str">
            <v>N/A</v>
          </cell>
        </row>
      </sheetData>
      <sheetData sheetId="11">
        <row r="8">
          <cell r="V8">
            <v>0</v>
          </cell>
        </row>
      </sheetData>
      <sheetData sheetId="12">
        <row r="5">
          <cell r="E5">
            <v>0</v>
          </cell>
          <cell r="AI5">
            <v>0</v>
          </cell>
        </row>
      </sheetData>
      <sheetData sheetId="13"/>
      <sheetData sheetId="14"/>
      <sheetData sheetId="1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ORGS1011 (2)"/>
      <sheetName val="sftrans1011Sep10"/>
      <sheetName val="Trans@1.10"/>
      <sheetName val="Monitor"/>
      <sheetName val="trans"/>
      <sheetName val="mfg (2)"/>
      <sheetName val="OneSchoolSF"/>
      <sheetName val="OneSchool"/>
      <sheetName val="transaction data 1011"/>
      <sheetName val="Trans@4.10"/>
      <sheetName val="sftrans1011"/>
      <sheetName val="abatement"/>
      <sheetName val="EMFG"/>
      <sheetName val="NMFG"/>
      <sheetName val="mfg"/>
      <sheetName val="Report"/>
      <sheetName val="OrigAbate"/>
      <sheetName val="sf trans 0910"/>
      <sheetName val="transaction data 0910"/>
      <sheetName val="News"/>
      <sheetName val="All Schools"/>
      <sheetName val="Pupils"/>
      <sheetName val="AEN Report"/>
      <sheetName val="Special"/>
      <sheetName val="Resource Provision"/>
      <sheetName val="MFGreport"/>
      <sheetName val="ProvAlloc1011"/>
      <sheetName val="EMAG"/>
      <sheetName val="REORGS1011"/>
      <sheetName val="rates"/>
      <sheetName val="data"/>
      <sheetName val="rpsen"/>
      <sheetName val="specialsen"/>
      <sheetName val="AEN"/>
      <sheetName val="Primary aen"/>
      <sheetName val="Census Jan 09"/>
      <sheetName val="Pupils 2010"/>
      <sheetName val="Pupil data"/>
      <sheetName val="SFOalloc0910"/>
      <sheetName val="REORGS1011_(2)"/>
      <sheetName val="Trans@1_10"/>
      <sheetName val="mfg_(2)"/>
      <sheetName val="transaction_data_1011"/>
      <sheetName val="Trans@4_10"/>
      <sheetName val="sf_trans_0910"/>
      <sheetName val="transaction_data_0910"/>
      <sheetName val="All_Schools"/>
      <sheetName val="AEN_Report"/>
      <sheetName val="Resource_Provision"/>
      <sheetName val="Primary_aen"/>
      <sheetName val="Census_Jan_09"/>
      <sheetName val="Pupils_2010"/>
      <sheetName val="Pupil_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Reports"/>
      <sheetName val="Timetable"/>
      <sheetName val="Tables"/>
      <sheetName val="Files"/>
      <sheetName val="Instructions"/>
      <sheetName val="Tasks"/>
      <sheetName val="Help"/>
      <sheetName val="Lines"/>
      <sheetName val="BudgetVersions"/>
      <sheetName val="PandRJan16"/>
      <sheetName val="SFJan16"/>
      <sheetName val="BlockAnalysis"/>
      <sheetName val="DraftBudget1617"/>
      <sheetName val="S251report"/>
      <sheetName val="Queries"/>
      <sheetName val="3YRBudgetS251"/>
      <sheetName val="3YRBudget"/>
      <sheetName val="HNtopupBudget"/>
      <sheetName val="Comments"/>
      <sheetName val="BudDetail"/>
      <sheetName val="Historical"/>
      <sheetName val="SchoolList"/>
      <sheetName val="SchoolOrg"/>
      <sheetName val="DSGReport"/>
      <sheetName val="Schoolfunding"/>
      <sheetName val="BudgetShare"/>
      <sheetName val="GrowthProj"/>
      <sheetName val="BudMon1516"/>
      <sheetName val="Costcentres"/>
      <sheetName val="S251"/>
      <sheetName val="GLcodes"/>
      <sheetName val="Growth"/>
      <sheetName val="SchoolGrowth"/>
      <sheetName val="5YearGrowth£"/>
      <sheetName val="GrowthFund1617"/>
      <sheetName val="GrowthFund1718"/>
      <sheetName val="GrowthFund1819"/>
      <sheetName val="GrowthFund1920"/>
      <sheetName val="GrowthFund2021"/>
      <sheetName val="Val's New School List"/>
      <sheetName val="All schools 2014-2018"/>
      <sheetName val="Schools"/>
      <sheetName val="HNRates"/>
      <sheetName val="DSG"/>
      <sheetName val="DSGDec"/>
      <sheetName val="Underspends"/>
      <sheetName val="USpends"/>
      <sheetName val="DSGProj"/>
      <sheetName val="Recoupment"/>
      <sheetName val="Post16"/>
      <sheetName val="Pupils"/>
      <sheetName val="PupilRecOct15"/>
      <sheetName val="OCT14Census"/>
      <sheetName val="Oct15Census"/>
      <sheetName val="AcadCensus2015"/>
      <sheetName val="PupilProjOld"/>
      <sheetName val="YGSummary"/>
      <sheetName val="YGProj"/>
      <sheetName val="PupilProj"/>
      <sheetName val="EFAPupils"/>
      <sheetName val="APT"/>
      <sheetName val="NEWISB"/>
      <sheetName val="Dedeleg"/>
      <sheetName val="APT171819"/>
      <sheetName val="Growthfund"/>
      <sheetName val="Growthdetail"/>
      <sheetName val="Post16Allocs"/>
      <sheetName val="APTPupils"/>
      <sheetName val="APTfullISB"/>
      <sheetName val="APTRates"/>
      <sheetName val="SBData"/>
      <sheetName val="HNPlacesNew"/>
      <sheetName val="HighNeedsPlaces"/>
      <sheetName val="HNPlaceList"/>
      <sheetName val="HNPlaceSummary"/>
      <sheetName val="BarnetHNRecoup"/>
      <sheetName val="SpecialPRUARP"/>
      <sheetName val="Topups"/>
      <sheetName val="BarnetEHCP"/>
      <sheetName val="BarnetARPs"/>
      <sheetName val="BarnetSpec"/>
      <sheetName val="IndOOBtopups"/>
      <sheetName val="SENServ"/>
      <sheetName val="SENCentral"/>
      <sheetName val="HNRegs"/>
      <sheetName val="HighNeedsRec"/>
      <sheetName val="HNCheck"/>
      <sheetName val="FEEE3"/>
      <sheetName val="FEEE3Projdata"/>
      <sheetName val="Under5s"/>
      <sheetName val="FamServ"/>
      <sheetName val="TwoYearOlds"/>
      <sheetName val="Central"/>
      <sheetName val="Other"/>
      <sheetName val="None"/>
      <sheetName val="Lines1516"/>
      <sheetName val="1516NEWISB"/>
      <sheetName val="1516Monitor"/>
      <sheetName val="Month8Mon"/>
      <sheetName val="Month7Mon"/>
      <sheetName val="Month6Mon"/>
      <sheetName val="Month4Mon"/>
      <sheetName val="LinesV1"/>
      <sheetName val="LinesV2"/>
      <sheetName val="LinesV3"/>
      <sheetName val="LinesV4"/>
      <sheetName val="LinesBudLoad"/>
      <sheetName val="BudLoad4Dec15"/>
      <sheetName val="Val's_New_School_List"/>
      <sheetName val="All_schools_2014-20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1">
          <cell r="I1">
            <v>1000000</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List"/>
      <sheetName val="New Report"/>
      <sheetName val="Master"/>
      <sheetName val="Panel History"/>
      <sheetName val="Payments CHX"/>
      <sheetName val="Payments JNL"/>
      <sheetName val="NEF Spring"/>
      <sheetName val="F April09"/>
      <sheetName val="U April09"/>
      <sheetName val="N April09"/>
      <sheetName val="P April09"/>
      <sheetName val="W April09"/>
      <sheetName val="C April09"/>
      <sheetName val="H April09"/>
      <sheetName val="Summer NEF"/>
      <sheetName val="F May09"/>
      <sheetName val="U May09"/>
      <sheetName val="N May09"/>
      <sheetName val="P May09"/>
      <sheetName val="W May09"/>
      <sheetName val="C May09"/>
      <sheetName val="H May09"/>
      <sheetName val="F June09"/>
      <sheetName val="F July09"/>
      <sheetName val="U June09"/>
      <sheetName val="U July09"/>
      <sheetName val="W June09"/>
      <sheetName val="W July09"/>
      <sheetName val="P June09"/>
      <sheetName val="P July09"/>
      <sheetName val="N June09"/>
      <sheetName val="N July09"/>
      <sheetName val="H July09"/>
      <sheetName val="F August09"/>
      <sheetName val="U August09"/>
      <sheetName val="W August09"/>
      <sheetName val="P August09"/>
      <sheetName val="N August09"/>
      <sheetName val="NEF Autumn 09"/>
      <sheetName val="F September09"/>
      <sheetName val="U September09"/>
      <sheetName val="W September09"/>
      <sheetName val="P September09"/>
      <sheetName val="N September09"/>
      <sheetName val="H June09"/>
      <sheetName val="Centre Totals"/>
      <sheetName val="Children Centre Pupil Breakdown"/>
      <sheetName val="Data"/>
      <sheetName val="Provider_List"/>
      <sheetName val="New_Report"/>
      <sheetName val="Panel_History"/>
      <sheetName val="Payments_CHX"/>
      <sheetName val="Payments_JNL"/>
      <sheetName val="NEF_Spring"/>
      <sheetName val="F_April09"/>
      <sheetName val="U_April09"/>
      <sheetName val="N_April09"/>
      <sheetName val="P_April09"/>
      <sheetName val="W_April09"/>
      <sheetName val="C_April09"/>
      <sheetName val="H_April09"/>
      <sheetName val="Summer_NEF"/>
      <sheetName val="F_May09"/>
      <sheetName val="U_May09"/>
      <sheetName val="N_May09"/>
      <sheetName val="P_May09"/>
      <sheetName val="W_May09"/>
      <sheetName val="C_May09"/>
      <sheetName val="H_May09"/>
      <sheetName val="F_June09"/>
      <sheetName val="F_July09"/>
      <sheetName val="U_June09"/>
      <sheetName val="U_July09"/>
      <sheetName val="W_June09"/>
      <sheetName val="W_July09"/>
      <sheetName val="P_June09"/>
      <sheetName val="P_July09"/>
      <sheetName val="N_June09"/>
      <sheetName val="N_July09"/>
      <sheetName val="H_July09"/>
      <sheetName val="F_August09"/>
      <sheetName val="U_August09"/>
      <sheetName val="W_August09"/>
      <sheetName val="P_August09"/>
      <sheetName val="N_August09"/>
      <sheetName val="NEF_Autumn_09"/>
      <sheetName val="F_September09"/>
      <sheetName val="U_September09"/>
      <sheetName val="W_September09"/>
      <sheetName val="P_September09"/>
      <sheetName val="N_September09"/>
      <sheetName val="H_June09"/>
      <sheetName val="Centre_Totals"/>
      <sheetName val="Children_Centre_Pupil_Breakdown"/>
    </sheetNames>
    <sheetDataSet>
      <sheetData sheetId="0" refreshError="1"/>
      <sheetData sheetId="1" refreshError="1">
        <row r="4">
          <cell r="J4" t="str">
            <v>September</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ow r="4">
          <cell r="J4" t="str">
            <v>September</v>
          </cell>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EAs"/>
      <sheetName val="Summary"/>
      <sheetName val="PLASC-SLASC"/>
      <sheetName val="Form 8b"/>
      <sheetName val="EYC"/>
      <sheetName val="3yo adjustment"/>
      <sheetName val="Form_8b"/>
      <sheetName val="3yo_adjustmen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B"/>
      <sheetName val="P16FY13-14"/>
      <sheetName val="DSGAdditions"/>
      <sheetName val="SBIncome"/>
      <sheetName val="DSG1314EFA"/>
      <sheetName val="Baselines"/>
      <sheetName val="CBDSGV4"/>
      <sheetName val="HNEFA"/>
      <sheetName val="AcadRecoup"/>
    </sheetNames>
    <sheetDataSet>
      <sheetData sheetId="0"/>
      <sheetData sheetId="1"/>
      <sheetData sheetId="2">
        <row r="21">
          <cell r="E21">
            <v>4.1305800000000001</v>
          </cell>
        </row>
      </sheetData>
      <sheetData sheetId="3"/>
      <sheetData sheetId="4">
        <row r="5">
          <cell r="D5">
            <v>210.79811688000001</v>
          </cell>
        </row>
      </sheetData>
      <sheetData sheetId="5"/>
      <sheetData sheetId="6">
        <row r="6">
          <cell r="C6">
            <v>210798116.88</v>
          </cell>
        </row>
      </sheetData>
      <sheetData sheetId="7"/>
      <sheetData sheetId="8"/>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oose"/>
      <sheetName val="News"/>
      <sheetName val="Home"/>
      <sheetName val="BudgetShare"/>
      <sheetName val="Payments"/>
      <sheetName val="Pupils"/>
      <sheetName val="CFR"/>
      <sheetName val="HighNeeds"/>
      <sheetName val="EHCPtopup"/>
      <sheetName val="ARPtopup"/>
      <sheetName val="Specialtopup"/>
      <sheetName val="PRUTopups"/>
      <sheetName val="HNRates"/>
      <sheetName val="EarlyYears"/>
      <sheetName val="SixthForm"/>
      <sheetName val="PupilPremium"/>
      <sheetName val="Grants"/>
      <sheetName val="Growth"/>
      <sheetName val="MFG"/>
      <sheetName val="NotionalSEN"/>
      <sheetName val="Compare"/>
      <sheetName val="BarnetReport"/>
      <sheetName val="NicoleAdj"/>
      <sheetName val="NicoleAprilBCD"/>
      <sheetName val="NicoleBCD"/>
      <sheetName val="NicoleAll"/>
      <sheetName val="RunCost"/>
      <sheetName val="BudMon"/>
      <sheetName val="EYData"/>
      <sheetName val="NEWISB"/>
      <sheetName val="AUTTOPUPS"/>
      <sheetName val="AutTopupData"/>
      <sheetName val="Month8"/>
      <sheetName val="Rates"/>
      <sheetName val="Schools"/>
      <sheetName val="1415Funding"/>
      <sheetName val="OCT14Census"/>
      <sheetName val="Schooldata"/>
      <sheetName val="CostCentres"/>
      <sheetName val="Exclusions"/>
      <sheetName val="PPJuly2"/>
      <sheetName val="PPFSM6July1"/>
      <sheetName val="HNPlaces"/>
      <sheetName val="HNPUPILS"/>
      <sheetName val="PRUCENSUS"/>
      <sheetName val="BulgeProt"/>
      <sheetName val="UIFSM"/>
      <sheetName val="UIFSMdata"/>
      <sheetName val="NNDRfromR&amp;B"/>
      <sheetName val="TRANSeoy15"/>
      <sheetName val="Autopivot"/>
      <sheetName val="Autopay1"/>
      <sheetName val="Autopay2"/>
      <sheetName val="Autopay3"/>
      <sheetName val="Autopay4"/>
      <sheetName val="DFCfinal"/>
      <sheetName val="SummerLAC"/>
      <sheetName val="UIFSMAdj"/>
      <sheetName val="UIFSMJul"/>
      <sheetName val="EHCP+ARPJuly"/>
      <sheetName val="SpecJuly"/>
      <sheetName val="POST16Allocs"/>
      <sheetName val="EY SUMA adj"/>
      <sheetName val="EY SUMAdata"/>
      <sheetName val="EY BUDMON Jul15"/>
      <sheetName val="Recoup"/>
      <sheetName val="NNDROct"/>
      <sheetName val="SummerSchools"/>
      <sheetName val="MP"/>
      <sheetName val="PEGrant1516"/>
      <sheetName val="RBaseline"/>
      <sheetName val="EYAutAct"/>
      <sheetName val="TRANS"/>
      <sheetName val="EY_SUMA_adj"/>
      <sheetName val="EY_SUMAdata"/>
      <sheetName val="EY_BUDMON_Jul15"/>
    </sheetNames>
    <sheetDataSet>
      <sheetData sheetId="0"/>
      <sheetData sheetId="1"/>
      <sheetData sheetId="2">
        <row r="5">
          <cell r="F5">
            <v>3023317</v>
          </cell>
        </row>
      </sheetData>
      <sheetData sheetId="3"/>
      <sheetData sheetId="4"/>
      <sheetData sheetId="5"/>
      <sheetData sheetId="6">
        <row r="14">
          <cell r="AD14" t="str">
            <v>Version 7.0</v>
          </cell>
        </row>
      </sheetData>
      <sheetData sheetId="7"/>
      <sheetData sheetId="8"/>
      <sheetData sheetId="9"/>
      <sheetData sheetId="10"/>
      <sheetData sheetId="11"/>
      <sheetData sheetId="12"/>
      <sheetData sheetId="13">
        <row r="19">
          <cell r="AA19" t="str">
            <v>Yes</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alculations"/>
    </sheetNames>
    <sheetDataSet>
      <sheetData sheetId="0"/>
      <sheetData sheetId="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Control"/>
      <sheetName val="ACAs by District"/>
      <sheetName val="ACAs by LA"/>
      <sheetName val="ACAs by LA_withAvePartFringe"/>
      <sheetName val="PartFringe_AverageACA"/>
      <sheetName val="Chart1"/>
      <sheetName val="StaffProportion"/>
      <sheetName val="Expenditure"/>
      <sheetName val="TeacherSCA_SWFC_aut13"/>
      <sheetName val="LCAs by ACA Area"/>
      <sheetName val="LCA by District"/>
      <sheetName val="District-LA"/>
      <sheetName val="IL OL Fringe"/>
      <sheetName val="Regions"/>
      <sheetName val="Comparison"/>
      <sheetName val="AdHoc"/>
      <sheetName val="Export"/>
      <sheetName val="ACAs_by_District"/>
      <sheetName val="ACAs_by_LA"/>
      <sheetName val="ACAs_by_LA_withAvePartFringe"/>
      <sheetName val="LCAs_by_ACA_Area"/>
      <sheetName val="LCA_by_District"/>
      <sheetName val="IL_OL_Fringe"/>
    </sheetNames>
    <sheetDataSet>
      <sheetData sheetId="0"/>
      <sheetData sheetId="1"/>
      <sheetData sheetId="2"/>
      <sheetData sheetId="3"/>
      <sheetData sheetId="4"/>
      <sheetData sheetId="5"/>
      <sheetData sheetId="6" refreshError="1"/>
      <sheetData sheetId="7">
        <row r="16">
          <cell r="U16">
            <v>0.52832993970429731</v>
          </cell>
        </row>
        <row r="17">
          <cell r="U17">
            <v>0.28286328443663272</v>
          </cell>
        </row>
        <row r="20">
          <cell r="U20">
            <v>0.81119322414093009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ACAs by District"/>
      <sheetName val="ACAs by LA"/>
      <sheetName val="ACAs by LA_withAvePartFringe"/>
      <sheetName val="PartFringe_AverageACA"/>
      <sheetName val="Export to SQL"/>
      <sheetName val="Export To Tech Note"/>
      <sheetName val="Chart1"/>
      <sheetName val="StaffProportion"/>
      <sheetName val="Expenditure"/>
      <sheetName val="TeacherSCA_summary"/>
      <sheetName val="TeacherSCA_SWFCaut13_Method2"/>
      <sheetName val="LCAs by ACA Area"/>
      <sheetName val="LCA by District"/>
      <sheetName val="District-LA"/>
      <sheetName val="IL OL Fringe"/>
      <sheetName val="Regions"/>
      <sheetName val="ACAs_by_District"/>
      <sheetName val="ACAs_by_LA"/>
      <sheetName val="ACAs_by_LA_withAvePartFringe"/>
      <sheetName val="Export_to_SQL"/>
      <sheetName val="Export_To_Tech_Note"/>
      <sheetName val="LCAs_by_ACA_Area"/>
      <sheetName val="LCA_by_District"/>
      <sheetName val="IL_OL_Fringe"/>
    </sheetNames>
    <sheetDataSet>
      <sheetData sheetId="0"/>
      <sheetData sheetId="1"/>
      <sheetData sheetId="2"/>
      <sheetData sheetId="3"/>
      <sheetData sheetId="4"/>
      <sheetData sheetId="5"/>
      <sheetData sheetId="6"/>
      <sheetData sheetId="7"/>
      <sheetData sheetId="8" refreshError="1"/>
      <sheetData sheetId="9">
        <row r="16">
          <cell r="V16">
            <v>0.53762993774522583</v>
          </cell>
        </row>
        <row r="17">
          <cell r="V17">
            <v>0.27064572622099031</v>
          </cell>
        </row>
        <row r="20">
          <cell r="V20">
            <v>0.80827566396621608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specialtopup"/>
      <sheetName val="AutEHCPtopup"/>
      <sheetName val="AutARPtopup"/>
      <sheetName val="Choose"/>
      <sheetName val="News"/>
      <sheetName val="Home"/>
      <sheetName val="BudgetShare"/>
      <sheetName val="Payments"/>
      <sheetName val="Pupils"/>
      <sheetName val="CFR"/>
      <sheetName val="HighNeeds"/>
      <sheetName val="EHCPtopup"/>
      <sheetName val="ARPtopup"/>
      <sheetName val="Specialtopup"/>
      <sheetName val="PRUTopups"/>
      <sheetName val="HNRates"/>
      <sheetName val="EarlyYears"/>
      <sheetName val="EYSprUpdate"/>
      <sheetName val="SixthForm"/>
      <sheetName val="PupilPremium"/>
      <sheetName val="Grants"/>
      <sheetName val="Growth"/>
      <sheetName val="MFG"/>
      <sheetName val="NotionalSEN"/>
      <sheetName val="Compare"/>
      <sheetName val="BarnetReport"/>
      <sheetName val="NicoleAdj"/>
      <sheetName val="NicoleAprilBCD"/>
      <sheetName val="NicoleBCD"/>
      <sheetName val="NicoleAll"/>
      <sheetName val="RunCost"/>
      <sheetName val="BudMon"/>
      <sheetName val="EYData"/>
      <sheetName val="NEWISB"/>
      <sheetName val="AUTTOPUPS"/>
      <sheetName val="AutTopupData"/>
      <sheetName val="Month8"/>
      <sheetName val="Schools"/>
      <sheetName val="1415Funding"/>
      <sheetName val="OCT14Census"/>
      <sheetName val="Schooldata"/>
      <sheetName val="CostCentres"/>
      <sheetName val="Exclusions"/>
      <sheetName val="PPJuly2"/>
      <sheetName val="PPFSM6July1"/>
      <sheetName val="HNPlaces"/>
      <sheetName val="HNPUPILS"/>
      <sheetName val="PRUCENSUS"/>
      <sheetName val="BulgeProt"/>
      <sheetName val="UIFSM"/>
      <sheetName val="UIFSMdata"/>
      <sheetName val="NNDRfromR&amp;B"/>
      <sheetName val="TRANSeoy15"/>
      <sheetName val="Autopay1"/>
      <sheetName val="Autopay2"/>
      <sheetName val="Autopay3"/>
      <sheetName val="Autopay4"/>
      <sheetName val="DFCfinal"/>
      <sheetName val="SummerLAC"/>
      <sheetName val="UIFSMAdj"/>
      <sheetName val="UIFSMJul"/>
      <sheetName val="EHCP+ARPJuly"/>
      <sheetName val="SpecJuly"/>
      <sheetName val="POST16Allocs"/>
      <sheetName val="EY SUMA adj"/>
      <sheetName val="EY SUMAdata"/>
      <sheetName val="EY BUDMON Jul15"/>
      <sheetName val="Recoup"/>
      <sheetName val="NNDROct"/>
      <sheetName val="SummerSchools"/>
      <sheetName val="MP"/>
      <sheetName val="PEGrant1516"/>
      <sheetName val="RBaseline"/>
      <sheetName val="Sheet2"/>
      <sheetName val="LAPPGAdd"/>
      <sheetName val="Sheet3"/>
      <sheetName val="TRANS"/>
      <sheetName val="Rates"/>
      <sheetName val="Y7catchup"/>
      <sheetName val="EYAutAct"/>
      <sheetName val="Claremont"/>
      <sheetName val="BudmonJan"/>
      <sheetName val="Autopivot"/>
      <sheetName val="SprSENAdj"/>
      <sheetName val="SprTopupData"/>
      <sheetName val="VSallocs"/>
      <sheetName val="EY_SUMA_adj"/>
      <sheetName val="EY_SUMAdata"/>
      <sheetName val="EY_BUDMON_Jul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9">
          <cell r="R9">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 04"/>
      <sheetName val="Budget summary"/>
      <sheetName val="SummaryCB"/>
      <sheetName val="INRespivot"/>
      <sheetName val="Ind &amp; NMSS Res"/>
      <sheetName val="INDaypivot"/>
      <sheetName val="Ind &amp; NMSS Day"/>
      <sheetName val="MAOOBPivot"/>
      <sheetName val="Maint &amp; Acad OOB"/>
      <sheetName val="ChCenPivot"/>
      <sheetName val="Children's Centres"/>
      <sheetName val="Therapies"/>
      <sheetName val="Specialist Pkgs"/>
      <sheetName val="Block Purchase"/>
      <sheetName val="Client Data"/>
      <sheetName val="Provider Listing"/>
      <sheetName val="Vendor List"/>
      <sheetName val="Data"/>
      <sheetName val="Sheet7"/>
      <sheetName val="Mth_04"/>
      <sheetName val="Budget_summary"/>
      <sheetName val="Ind_&amp;_NMSS_Res"/>
      <sheetName val="Ind_&amp;_NMSS_Day"/>
      <sheetName val="Maint_&amp;_Acad_OOB"/>
      <sheetName val="Children's_Centres"/>
      <sheetName val="Specialist_Pkgs"/>
      <sheetName val="Block_Purchase"/>
      <sheetName val="Client_Data"/>
      <sheetName val="Provider_Listing"/>
      <sheetName val="Vendor_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v>279693</v>
          </cell>
        </row>
      </sheetData>
      <sheetData sheetId="15">
        <row r="2">
          <cell r="A2" t="str">
            <v>345 Pre-School Thetherdown</v>
          </cell>
          <cell r="B2" t="str">
            <v>IND. OB</v>
          </cell>
        </row>
        <row r="3">
          <cell r="A3" t="str">
            <v>Abingdon House</v>
          </cell>
          <cell r="B3" t="str">
            <v>IND.Special Scl OB</v>
          </cell>
        </row>
        <row r="4">
          <cell r="A4" t="str">
            <v>Academy 4 Kids</v>
          </cell>
          <cell r="B4" t="str">
            <v>IND. IB</v>
          </cell>
        </row>
        <row r="5">
          <cell r="A5" t="str">
            <v>Acorn Assessment Centre</v>
          </cell>
          <cell r="B5" t="str">
            <v>BARNET</v>
          </cell>
        </row>
        <row r="6">
          <cell r="A6" t="str">
            <v>Acorns School, Independent Day Special</v>
          </cell>
          <cell r="B6" t="str">
            <v>IND.Special Scl OB</v>
          </cell>
        </row>
        <row r="7">
          <cell r="A7" t="str">
            <v>Active Learning</v>
          </cell>
          <cell r="B7" t="str">
            <v>IND. IB</v>
          </cell>
        </row>
        <row r="8">
          <cell r="A8" t="str">
            <v>Alan Pullinger</v>
          </cell>
          <cell r="B8" t="str">
            <v>IND. IB</v>
          </cell>
        </row>
        <row r="9">
          <cell r="A9" t="str">
            <v>Aldenham School, Borehamwood</v>
          </cell>
          <cell r="B9" t="str">
            <v>IND. OB</v>
          </cell>
        </row>
        <row r="10">
          <cell r="A10" t="str">
            <v>Alder Grange High</v>
          </cell>
          <cell r="B10" t="str">
            <v>LANCASHIRE maint</v>
          </cell>
        </row>
        <row r="11">
          <cell r="A11" t="str">
            <v>Alderwasley Hall School</v>
          </cell>
          <cell r="B11" t="str">
            <v>IND.Special Scl OB</v>
          </cell>
        </row>
        <row r="12">
          <cell r="A12" t="str">
            <v>Alexandra Park</v>
          </cell>
          <cell r="B12" t="str">
            <v>HARINGEY acad</v>
          </cell>
        </row>
        <row r="13">
          <cell r="A13" t="str">
            <v>Alexandra Primary</v>
          </cell>
          <cell r="B13" t="str">
            <v>ENFIELD maint</v>
          </cell>
        </row>
        <row r="14">
          <cell r="A14" t="str">
            <v>Alfriston School</v>
          </cell>
          <cell r="B14" t="str">
            <v>BUCKINGHAMSHIRE acad</v>
          </cell>
        </row>
        <row r="15">
          <cell r="A15" t="str">
            <v>Alonim Kindergarten</v>
          </cell>
          <cell r="B15" t="str">
            <v>IND. IB</v>
          </cell>
        </row>
        <row r="16">
          <cell r="A16" t="str">
            <v>Alperton Community School</v>
          </cell>
          <cell r="B16" t="str">
            <v>BRENT maint</v>
          </cell>
        </row>
        <row r="17">
          <cell r="A17" t="str">
            <v>Annemount School</v>
          </cell>
          <cell r="B17" t="str">
            <v>IND. IB</v>
          </cell>
        </row>
        <row r="18">
          <cell r="A18" t="str">
            <v>Apple Orchard School</v>
          </cell>
          <cell r="B18" t="str">
            <v>IND.Special Scl OB</v>
          </cell>
        </row>
        <row r="19">
          <cell r="A19" t="str">
            <v>ASD Learning</v>
          </cell>
          <cell r="B19" t="str">
            <v>IND. OB</v>
          </cell>
        </row>
        <row r="20">
          <cell r="A20" t="str">
            <v xml:space="preserve">Ashburnham Community </v>
          </cell>
          <cell r="B20" t="str">
            <v>KEN&amp;CHELSEA maint</v>
          </cell>
        </row>
        <row r="21">
          <cell r="A21" t="str">
            <v>Ashcroft School</v>
          </cell>
          <cell r="B21" t="str">
            <v>IND.Special Scl OB</v>
          </cell>
        </row>
        <row r="22">
          <cell r="A22" t="str">
            <v>Ashmole Academy</v>
          </cell>
          <cell r="B22" t="str">
            <v>BARNET</v>
          </cell>
        </row>
        <row r="23">
          <cell r="A23" t="str">
            <v>Ashmount Primary School</v>
          </cell>
          <cell r="B23" t="str">
            <v>ISLINGTON maint</v>
          </cell>
        </row>
        <row r="24">
          <cell r="A24" t="str">
            <v>Avigador Hirsch Torah</v>
          </cell>
          <cell r="B24" t="str">
            <v>BRENT maint</v>
          </cell>
        </row>
        <row r="25">
          <cell r="A25" t="str">
            <v>Avigdor Hirsch Torah Termimah Primary</v>
          </cell>
          <cell r="B25" t="str">
            <v>BRENT maint</v>
          </cell>
        </row>
        <row r="26">
          <cell r="A26" t="str">
            <v>Avocet House</v>
          </cell>
          <cell r="B26" t="str">
            <v>IND.Special Scl OB</v>
          </cell>
        </row>
        <row r="27">
          <cell r="A27" t="str">
            <v>Aylands School</v>
          </cell>
          <cell r="B27" t="str">
            <v>ENFIELD maint</v>
          </cell>
        </row>
        <row r="28">
          <cell r="A28" t="str">
            <v>Aylward First &amp; Middle School</v>
          </cell>
          <cell r="B28" t="str">
            <v>HARROW maint</v>
          </cell>
        </row>
        <row r="29">
          <cell r="A29" t="str">
            <v>Aylward Primary</v>
          </cell>
          <cell r="B29" t="str">
            <v>HARROW acad</v>
          </cell>
        </row>
        <row r="30">
          <cell r="A30" t="str">
            <v>Barnet &amp; Southgate College</v>
          </cell>
          <cell r="B30" t="str">
            <v>BARNET</v>
          </cell>
        </row>
        <row r="31">
          <cell r="A31" t="str">
            <v>Beaufort Park Nursey</v>
          </cell>
          <cell r="B31" t="str">
            <v>IND. IB</v>
          </cell>
        </row>
        <row r="32">
          <cell r="A32" t="str">
            <v>Beckford Primary School</v>
          </cell>
          <cell r="B32" t="str">
            <v>CAMDEN maint</v>
          </cell>
        </row>
        <row r="33">
          <cell r="A33" t="str">
            <v>The Beeches UK Ltd</v>
          </cell>
          <cell r="B33" t="str">
            <v>IND.Special Scl OB</v>
          </cell>
        </row>
        <row r="34">
          <cell r="A34" t="str">
            <v>Beis Soroh Schneirer Primary</v>
          </cell>
          <cell r="B34" t="str">
            <v>IND. IB</v>
          </cell>
        </row>
        <row r="35">
          <cell r="A35" t="str">
            <v>Beis Soroh Schneirir</v>
          </cell>
          <cell r="B35" t="str">
            <v>IND. IB</v>
          </cell>
        </row>
        <row r="36">
          <cell r="A36" t="str">
            <v>Beis Yaacov</v>
          </cell>
          <cell r="B36" t="str">
            <v>BARNET</v>
          </cell>
        </row>
        <row r="37">
          <cell r="A37" t="str">
            <v>Beis Yaakov</v>
          </cell>
          <cell r="B37" t="str">
            <v>BARNET</v>
          </cell>
        </row>
        <row r="38">
          <cell r="A38" t="str">
            <v>Belfield Montessori</v>
          </cell>
          <cell r="B38" t="str">
            <v>IND. IB</v>
          </cell>
        </row>
        <row r="39">
          <cell r="A39" t="str">
            <v>Belmont Park Special School</v>
          </cell>
          <cell r="B39" t="str">
            <v>WALTHAMFOREST maint</v>
          </cell>
        </row>
        <row r="40">
          <cell r="A40" t="str">
            <v xml:space="preserve">Belmont School, Mill Hill </v>
          </cell>
          <cell r="B40" t="str">
            <v>IND. IB</v>
          </cell>
        </row>
        <row r="41">
          <cell r="A41" t="str">
            <v>Bentley Wood High School</v>
          </cell>
          <cell r="B41" t="str">
            <v>HARROW acad</v>
          </cell>
        </row>
        <row r="42">
          <cell r="A42" t="str">
            <v>Beth Jacob Grammar School for Girls</v>
          </cell>
          <cell r="B42" t="str">
            <v>IND. IB</v>
          </cell>
        </row>
        <row r="43">
          <cell r="A43" t="str">
            <v>Bladon House School</v>
          </cell>
          <cell r="B43" t="str">
            <v>IND.Special Scl OB</v>
          </cell>
        </row>
        <row r="44">
          <cell r="A44" t="str">
            <v>Bladon House School</v>
          </cell>
          <cell r="B44" t="str">
            <v>IND.Special Scl OB</v>
          </cell>
        </row>
        <row r="45">
          <cell r="A45" t="str">
            <v>Blanche Nevile</v>
          </cell>
          <cell r="B45" t="str">
            <v>HARINGEY maint</v>
          </cell>
        </row>
        <row r="46">
          <cell r="A46" t="str">
            <v>Blossom House School, Wimbledon</v>
          </cell>
          <cell r="B46" t="str">
            <v>IND.Special Scl OB</v>
          </cell>
        </row>
        <row r="47">
          <cell r="A47" t="str">
            <v>Bnos Beis Yaakov Primary School</v>
          </cell>
          <cell r="B47" t="str">
            <v>IND. OB</v>
          </cell>
        </row>
        <row r="48">
          <cell r="A48" t="str">
            <v>Braintcroft Primary</v>
          </cell>
          <cell r="B48" t="str">
            <v>BRENT maint</v>
          </cell>
        </row>
        <row r="49">
          <cell r="A49" t="str">
            <v>Brentside Primary</v>
          </cell>
          <cell r="B49" t="str">
            <v>EALING acad</v>
          </cell>
        </row>
        <row r="50">
          <cell r="A50" t="str">
            <v>Bridgewater Middle School</v>
          </cell>
          <cell r="B50" t="str">
            <v>HERTS maint</v>
          </cell>
        </row>
        <row r="51">
          <cell r="A51" t="str">
            <v>Bright Learners</v>
          </cell>
          <cell r="B51" t="str">
            <v>IND. IB</v>
          </cell>
        </row>
        <row r="52">
          <cell r="A52" t="str">
            <v>Brit School for Performing Arts &amp; Tech.</v>
          </cell>
          <cell r="B52" t="str">
            <v>CROYDON maint</v>
          </cell>
        </row>
        <row r="53">
          <cell r="A53" t="str">
            <v>Broadhurst School</v>
          </cell>
          <cell r="B53" t="str">
            <v>IND. OB</v>
          </cell>
        </row>
        <row r="54">
          <cell r="A54" t="str">
            <v>Brondesbury Park Synagogue Nursery</v>
          </cell>
          <cell r="B54" t="str">
            <v>IND. OB</v>
          </cell>
        </row>
        <row r="55">
          <cell r="A55" t="str">
            <v>Brookfield Primary</v>
          </cell>
          <cell r="B55" t="str">
            <v>CAMDEN maint</v>
          </cell>
        </row>
        <row r="56">
          <cell r="A56" t="str">
            <v>Brookland Infant School</v>
          </cell>
          <cell r="B56" t="str">
            <v>BARNET</v>
          </cell>
        </row>
        <row r="57">
          <cell r="A57" t="str">
            <v>Brookland Infants/BEAM</v>
          </cell>
          <cell r="B57" t="str">
            <v>BARNET</v>
          </cell>
        </row>
        <row r="58">
          <cell r="A58" t="str">
            <v>Brookland Infants/London Sch. For Children with Cerebral Palsy</v>
          </cell>
          <cell r="B58" t="str">
            <v>BARNET</v>
          </cell>
        </row>
        <row r="59">
          <cell r="A59" t="str">
            <v>Brookland Junior</v>
          </cell>
          <cell r="B59" t="str">
            <v>BARNET</v>
          </cell>
        </row>
        <row r="60">
          <cell r="A60" t="str">
            <v>Brookland Juniors</v>
          </cell>
          <cell r="B60" t="str">
            <v>BARNET</v>
          </cell>
        </row>
        <row r="61">
          <cell r="A61" t="str">
            <v>Broomhayes School &amp; Children's Centre</v>
          </cell>
          <cell r="B61" t="str">
            <v>IND.Special Scl OB</v>
          </cell>
        </row>
        <row r="62">
          <cell r="A62" t="str">
            <v>Broughton House &amp; College</v>
          </cell>
          <cell r="B62" t="str">
            <v>IND. OB</v>
          </cell>
        </row>
        <row r="63">
          <cell r="A63" t="str">
            <v>Brymore School of Rural Technology</v>
          </cell>
          <cell r="B63" t="str">
            <v>SOMERSET acad</v>
          </cell>
        </row>
        <row r="64">
          <cell r="A64" t="str">
            <v>Bushey Meads</v>
          </cell>
          <cell r="B64" t="str">
            <v>HERTS acad</v>
          </cell>
        </row>
        <row r="65">
          <cell r="A65" t="str">
            <v>Bushey Meads (Resourced)</v>
          </cell>
          <cell r="B65" t="str">
            <v>HERTS acad</v>
          </cell>
        </row>
        <row r="66">
          <cell r="A66" t="str">
            <v>Busy Bees Nursery</v>
          </cell>
          <cell r="B66" t="str">
            <v>IND. IB</v>
          </cell>
        </row>
        <row r="67">
          <cell r="A67" t="str">
            <v>Byron Court Primary</v>
          </cell>
          <cell r="B67" t="str">
            <v>BRENT maint</v>
          </cell>
        </row>
        <row r="68">
          <cell r="A68" t="str">
            <v>Caldecott Foundation</v>
          </cell>
          <cell r="B68" t="str">
            <v>NON-MAIN SS OB</v>
          </cell>
        </row>
        <row r="69">
          <cell r="A69" t="str">
            <v>Camden School for Girls</v>
          </cell>
          <cell r="B69" t="str">
            <v>CAMDEN maint</v>
          </cell>
        </row>
        <row r="70">
          <cell r="A70" t="str">
            <v>Canons High</v>
          </cell>
          <cell r="B70" t="str">
            <v>HARROW acad</v>
          </cell>
        </row>
        <row r="71">
          <cell r="A71" t="str">
            <v>Centro Infantil Menchu Nursery</v>
          </cell>
          <cell r="B71" t="str">
            <v>IND. OB</v>
          </cell>
        </row>
        <row r="72">
          <cell r="A72" t="str">
            <v>Chalcot</v>
          </cell>
          <cell r="B72" t="str">
            <v>CAMDEN maint</v>
          </cell>
        </row>
        <row r="73">
          <cell r="A73" t="str">
            <v>Chancellor's School</v>
          </cell>
          <cell r="B73" t="str">
            <v>HERTS maint</v>
          </cell>
        </row>
        <row r="74">
          <cell r="A74" t="str">
            <v>Chantry School</v>
          </cell>
          <cell r="B74" t="str">
            <v>HILLINGDON maint</v>
          </cell>
        </row>
        <row r="75">
          <cell r="A75" t="str">
            <v>Chesterfield Primary School</v>
          </cell>
          <cell r="B75" t="str">
            <v>ENFIELD maint</v>
          </cell>
        </row>
        <row r="76">
          <cell r="A76" t="str">
            <v>Childs Hill</v>
          </cell>
          <cell r="B76" t="str">
            <v>BARNET</v>
          </cell>
        </row>
        <row r="77">
          <cell r="A77" t="str">
            <v>Childs Hill Resourced Provision</v>
          </cell>
          <cell r="B77" t="str">
            <v>BARNET</v>
          </cell>
        </row>
        <row r="78">
          <cell r="A78" t="str">
            <v>Chiltern Special School</v>
          </cell>
          <cell r="B78" t="str">
            <v>CEN.BEDFORDSHIRE maint</v>
          </cell>
        </row>
        <row r="79">
          <cell r="A79" t="str">
            <v>Christ Church CE School</v>
          </cell>
          <cell r="B79" t="str">
            <v>BARNET</v>
          </cell>
        </row>
        <row r="80">
          <cell r="A80" t="str">
            <v>Church Hill</v>
          </cell>
          <cell r="B80" t="str">
            <v>BARNET</v>
          </cell>
        </row>
        <row r="81">
          <cell r="A81" t="str">
            <v>Claybrook Cottage School</v>
          </cell>
          <cell r="B81" t="str">
            <v>IND. OB</v>
          </cell>
        </row>
        <row r="82">
          <cell r="A82" t="str">
            <v>Coldfall Primary</v>
          </cell>
          <cell r="B82" t="str">
            <v>HARINGEY maint</v>
          </cell>
        </row>
        <row r="83">
          <cell r="A83" t="str">
            <v>Coldfall Primary School</v>
          </cell>
          <cell r="B83" t="str">
            <v>HARINGEY maint</v>
          </cell>
        </row>
        <row r="84">
          <cell r="A84" t="str">
            <v>Colindale Nursery (Ind)</v>
          </cell>
          <cell r="B84" t="str">
            <v>IND. IB</v>
          </cell>
        </row>
        <row r="85">
          <cell r="A85" t="str">
            <v>Colindale School</v>
          </cell>
          <cell r="B85" t="str">
            <v>BARNET</v>
          </cell>
        </row>
        <row r="86">
          <cell r="A86" t="str">
            <v>Colnbrook School</v>
          </cell>
          <cell r="B86" t="str">
            <v>HERTS maint</v>
          </cell>
        </row>
        <row r="87">
          <cell r="A87" t="str">
            <v>Community College</v>
          </cell>
          <cell r="B87" t="str">
            <v>KENT maint</v>
          </cell>
        </row>
        <row r="88">
          <cell r="A88" t="str">
            <v>Compton School</v>
          </cell>
          <cell r="B88" t="str">
            <v>BARNET</v>
          </cell>
        </row>
        <row r="89">
          <cell r="A89" t="str">
            <v>Convent of Jesus and Mary Language College</v>
          </cell>
          <cell r="B89" t="str">
            <v>BRENT acad</v>
          </cell>
        </row>
        <row r="90">
          <cell r="A90" t="str">
            <v>Coppetts Wood School</v>
          </cell>
          <cell r="B90" t="str">
            <v>BARNET</v>
          </cell>
        </row>
        <row r="91">
          <cell r="A91" t="str">
            <v>Copthall School</v>
          </cell>
          <cell r="B91" t="str">
            <v>BARNET</v>
          </cell>
        </row>
        <row r="92">
          <cell r="A92" t="str">
            <v>Cornfield School, Littlehampton</v>
          </cell>
          <cell r="B92" t="str">
            <v>WESTSUSSEX maint</v>
          </cell>
        </row>
        <row r="93">
          <cell r="A93" t="str">
            <v>Country Cows Montessori</v>
          </cell>
          <cell r="B93" t="str">
            <v>IND. IB</v>
          </cell>
        </row>
        <row r="94">
          <cell r="A94" t="str">
            <v>Coxlease School</v>
          </cell>
          <cell r="B94" t="str">
            <v>IND. OB</v>
          </cell>
        </row>
        <row r="95">
          <cell r="A95" t="str">
            <v>Cressey College</v>
          </cell>
          <cell r="B95" t="str">
            <v>IND.Special Scl OB</v>
          </cell>
        </row>
        <row r="96">
          <cell r="A96" t="str">
            <v>Cruckton Hall School</v>
          </cell>
          <cell r="B96" t="str">
            <v>IND.Special Scl OB</v>
          </cell>
        </row>
        <row r="97">
          <cell r="A97" t="str">
            <v xml:space="preserve">Cupcakes Nursery </v>
          </cell>
          <cell r="B97" t="str">
            <v>IND. IB</v>
          </cell>
        </row>
        <row r="98">
          <cell r="A98" t="str">
            <v>Dame Alice Owen</v>
          </cell>
          <cell r="B98" t="str">
            <v>HERTS acad</v>
          </cell>
        </row>
        <row r="99">
          <cell r="A99" t="str">
            <v>Dame Alice Owen's</v>
          </cell>
          <cell r="B99" t="str">
            <v>HERTS acad</v>
          </cell>
        </row>
        <row r="100">
          <cell r="A100" t="str">
            <v>Danecroft Nursery</v>
          </cell>
          <cell r="B100" t="str">
            <v>IND. IB</v>
          </cell>
        </row>
        <row r="101">
          <cell r="A101" t="str">
            <v>Davies Laing &amp; Dick College</v>
          </cell>
          <cell r="B101" t="str">
            <v>IND. OB</v>
          </cell>
        </row>
        <row r="102">
          <cell r="A102" t="str">
            <v>Dawn House</v>
          </cell>
          <cell r="B102" t="str">
            <v>NON-MAIN SS OB</v>
          </cell>
        </row>
        <row r="103">
          <cell r="A103" t="str">
            <v>Delamere Forest (Cheshire)</v>
          </cell>
          <cell r="B103" t="str">
            <v>MANCHESTER maint</v>
          </cell>
        </row>
        <row r="104">
          <cell r="A104" t="str">
            <v>Down’s View Link College</v>
          </cell>
          <cell r="B104" t="str">
            <v>BRIGHTON&amp;HOVE maint</v>
          </cell>
        </row>
        <row r="105">
          <cell r="A105" t="str">
            <v>Downs Park School</v>
          </cell>
          <cell r="B105" t="str">
            <v>BRIGHTON&amp;HOVE maint</v>
          </cell>
        </row>
        <row r="106">
          <cell r="A106" t="str">
            <v>Dwight School</v>
          </cell>
          <cell r="B106" t="str">
            <v>IND. IB</v>
          </cell>
        </row>
        <row r="107">
          <cell r="A107" t="str">
            <v>Dwight School</v>
          </cell>
          <cell r="B107" t="str">
            <v>IND. IB</v>
          </cell>
        </row>
        <row r="108">
          <cell r="A108" t="str">
            <v>East Barnet School</v>
          </cell>
          <cell r="B108" t="str">
            <v>BARNET</v>
          </cell>
        </row>
        <row r="109">
          <cell r="A109" t="str">
            <v>East London Ind. Special School (TCES)</v>
          </cell>
          <cell r="B109" t="str">
            <v>IND.Special Scl OB</v>
          </cell>
        </row>
        <row r="110">
          <cell r="A110" t="str">
            <v>Edgware Adath Yisroel Congregation</v>
          </cell>
          <cell r="B110" t="str">
            <v>IND. IB</v>
          </cell>
        </row>
        <row r="111">
          <cell r="A111" t="str">
            <v>Edgware Jewish Primary School</v>
          </cell>
          <cell r="B111" t="str">
            <v>BARNET</v>
          </cell>
        </row>
        <row r="112">
          <cell r="A112" t="str">
            <v>Education Otherwise/BHHTT</v>
          </cell>
          <cell r="B112" t="str">
            <v>BARNET</v>
          </cell>
        </row>
        <row r="113">
          <cell r="A113" t="str">
            <v>Egerton Rothesay</v>
          </cell>
          <cell r="B113" t="str">
            <v>IND. OB</v>
          </cell>
        </row>
        <row r="114">
          <cell r="A114" t="str">
            <v>Ellern Mede School (ED)</v>
          </cell>
          <cell r="B114" t="str">
            <v>IND. IB</v>
          </cell>
        </row>
        <row r="115">
          <cell r="A115" t="str">
            <v>Elm Grove Junior</v>
          </cell>
          <cell r="B115">
            <v>0</v>
          </cell>
        </row>
        <row r="116">
          <cell r="A116" t="str">
            <v>Elstree UTC</v>
          </cell>
          <cell r="B116" t="str">
            <v>HERTS acad</v>
          </cell>
        </row>
        <row r="117">
          <cell r="A117" t="str">
            <v>Ethelbert Childrens Services</v>
          </cell>
          <cell r="B117" t="str">
            <v>IND.Special Scl OB</v>
          </cell>
        </row>
        <row r="118">
          <cell r="A118" t="str">
            <v>Eversley Primary</v>
          </cell>
          <cell r="B118" t="str">
            <v>ENFIELD maint</v>
          </cell>
        </row>
        <row r="119">
          <cell r="A119" t="str">
            <v>Fairley House</v>
          </cell>
          <cell r="B119" t="str">
            <v>IND.Special Scl OB</v>
          </cell>
        </row>
        <row r="120">
          <cell r="A120" t="str">
            <v>Fairview Community Primary School</v>
          </cell>
          <cell r="B120" t="str">
            <v>KENT maint</v>
          </cell>
        </row>
        <row r="121">
          <cell r="A121" t="str">
            <v>Fairway Children's Centre</v>
          </cell>
          <cell r="B121" t="str">
            <v>BARNET</v>
          </cell>
        </row>
        <row r="122">
          <cell r="A122" t="str">
            <v>Finchley Catholic High</v>
          </cell>
          <cell r="B122" t="str">
            <v>BARNET</v>
          </cell>
        </row>
        <row r="123">
          <cell r="A123" t="str">
            <v>Fine Arts College Hampstead</v>
          </cell>
          <cell r="B123" t="str">
            <v>IND. OB</v>
          </cell>
        </row>
        <row r="124">
          <cell r="A124" t="str">
            <v>Fortismere School</v>
          </cell>
          <cell r="B124" t="str">
            <v>HARINGEY maint</v>
          </cell>
        </row>
        <row r="125">
          <cell r="A125" t="str">
            <v>Friern Barnet</v>
          </cell>
          <cell r="B125" t="str">
            <v>BARNET</v>
          </cell>
        </row>
        <row r="126">
          <cell r="A126" t="str">
            <v>Furness School</v>
          </cell>
          <cell r="B126" t="str">
            <v>KENT maint</v>
          </cell>
        </row>
        <row r="127">
          <cell r="A127" t="str">
            <v>Gan Sabres</v>
          </cell>
          <cell r="B127" t="str">
            <v>IND. IB</v>
          </cell>
        </row>
        <row r="128">
          <cell r="A128" t="str">
            <v>Garden Suburb</v>
          </cell>
          <cell r="B128" t="str">
            <v>BARNET</v>
          </cell>
        </row>
        <row r="129">
          <cell r="A129" t="str">
            <v>Garfield Primary School</v>
          </cell>
          <cell r="B129" t="str">
            <v>ENFIELD maint</v>
          </cell>
        </row>
        <row r="130">
          <cell r="A130" t="str">
            <v>Gladstone Park</v>
          </cell>
          <cell r="B130" t="str">
            <v>BRENT maint</v>
          </cell>
        </row>
        <row r="131">
          <cell r="A131" t="str">
            <v>Glenwood School</v>
          </cell>
          <cell r="B131">
            <v>0</v>
          </cell>
        </row>
        <row r="132">
          <cell r="A132" t="str">
            <v>Goodwyn School</v>
          </cell>
          <cell r="B132" t="str">
            <v>IND. IB</v>
          </cell>
        </row>
        <row r="133">
          <cell r="A133" t="str">
            <v>Gower School</v>
          </cell>
          <cell r="B133" t="str">
            <v>IND. OB</v>
          </cell>
        </row>
        <row r="134">
          <cell r="A134" t="str">
            <v>Grange Park Primary School</v>
          </cell>
          <cell r="B134" t="str">
            <v>ENFIELD maint</v>
          </cell>
        </row>
        <row r="135">
          <cell r="A135" t="str">
            <v>Grasvenor Avenue Infant</v>
          </cell>
          <cell r="B135" t="str">
            <v>BARNET</v>
          </cell>
        </row>
        <row r="136">
          <cell r="A136" t="str">
            <v>Grimsdell Pre School</v>
          </cell>
          <cell r="B136" t="str">
            <v>IND. IB</v>
          </cell>
        </row>
        <row r="137">
          <cell r="A137" t="str">
            <v>Haberdashers' Aske's School for Girls</v>
          </cell>
          <cell r="B137" t="str">
            <v>IND. OB</v>
          </cell>
        </row>
        <row r="138">
          <cell r="A138" t="str">
            <v>Hadley Wood</v>
          </cell>
          <cell r="B138" t="str">
            <v>ENFIELD maint</v>
          </cell>
        </row>
        <row r="139">
          <cell r="A139" t="str">
            <v>Hampstead School</v>
          </cell>
          <cell r="B139" t="str">
            <v>CAMDEN maint</v>
          </cell>
        </row>
        <row r="140">
          <cell r="A140" t="str">
            <v>Hampsteads Dyslexia Clinic</v>
          </cell>
          <cell r="B140" t="str">
            <v>BARNET</v>
          </cell>
        </row>
        <row r="141">
          <cell r="A141" t="str">
            <v>Haslingden High School</v>
          </cell>
          <cell r="B141" t="str">
            <v>LANCASHIRE maint</v>
          </cell>
        </row>
        <row r="142">
          <cell r="A142" t="str">
            <v>Hasmonean High</v>
          </cell>
          <cell r="B142" t="str">
            <v>BARNET</v>
          </cell>
        </row>
        <row r="143">
          <cell r="A143" t="str">
            <v>Hasmonean Primary School</v>
          </cell>
          <cell r="B143" t="str">
            <v>BARNET</v>
          </cell>
        </row>
        <row r="144">
          <cell r="A144" t="str">
            <v>Haverstock School</v>
          </cell>
          <cell r="B144" t="str">
            <v>CAMDEN maint</v>
          </cell>
        </row>
        <row r="145">
          <cell r="A145" t="str">
            <v>Heath Farm</v>
          </cell>
          <cell r="B145" t="str">
            <v>IND.Special Scl OB</v>
          </cell>
        </row>
        <row r="146">
          <cell r="A146" t="str">
            <v>Heathlands School</v>
          </cell>
          <cell r="B146" t="str">
            <v>HERTS maint</v>
          </cell>
        </row>
        <row r="147">
          <cell r="A147" t="str">
            <v>Hendon Preparatory</v>
          </cell>
          <cell r="B147" t="str">
            <v>IND. IB</v>
          </cell>
        </row>
        <row r="148">
          <cell r="A148" t="str">
            <v>Hendon Preparatory School</v>
          </cell>
          <cell r="B148" t="str">
            <v>IND. IB</v>
          </cell>
        </row>
        <row r="149">
          <cell r="A149" t="str">
            <v>Hendon Resourced Provision</v>
          </cell>
          <cell r="B149" t="str">
            <v>BARNET</v>
          </cell>
        </row>
        <row r="150">
          <cell r="A150" t="str">
            <v>Hendon School</v>
          </cell>
          <cell r="B150" t="str">
            <v>BARNET</v>
          </cell>
        </row>
        <row r="151">
          <cell r="A151" t="str">
            <v>Heritage House</v>
          </cell>
          <cell r="B151" t="str">
            <v>BUCKINGHAMSHIRE maint</v>
          </cell>
        </row>
        <row r="152">
          <cell r="A152" t="str">
            <v>Hertswood School</v>
          </cell>
          <cell r="B152" t="str">
            <v>HERTS acad</v>
          </cell>
        </row>
        <row r="153">
          <cell r="A153" t="str">
            <v>High Close</v>
          </cell>
          <cell r="B153" t="str">
            <v>NON-MAIN SS OB</v>
          </cell>
        </row>
        <row r="154">
          <cell r="A154" t="str">
            <v>Highlands School</v>
          </cell>
          <cell r="B154" t="str">
            <v>ENFIELD maint</v>
          </cell>
        </row>
        <row r="155">
          <cell r="A155" t="str">
            <v>Highview School</v>
          </cell>
          <cell r="B155" t="str">
            <v>KENT maint</v>
          </cell>
        </row>
        <row r="156">
          <cell r="A156" t="str">
            <v>Hill Park Day Nursery (Asquith)</v>
          </cell>
          <cell r="B156" t="str">
            <v>IND. IB</v>
          </cell>
        </row>
        <row r="157">
          <cell r="A157" t="str">
            <v>Hillingdon Manor School</v>
          </cell>
          <cell r="B157" t="str">
            <v>IND.Special Scl OB</v>
          </cell>
        </row>
        <row r="158">
          <cell r="A158" t="str">
            <v>HLC Secondary School</v>
          </cell>
          <cell r="B158" t="str">
            <v>TELFORD maint</v>
          </cell>
        </row>
        <row r="159">
          <cell r="A159" t="str">
            <v>Home Based ABA Programme</v>
          </cell>
          <cell r="B159" t="str">
            <v>BARNET</v>
          </cell>
        </row>
        <row r="160">
          <cell r="A160" t="str">
            <v>Honilands Primary</v>
          </cell>
          <cell r="B160" t="str">
            <v>ENFIELD maint</v>
          </cell>
        </row>
        <row r="161">
          <cell r="A161" t="str">
            <v>Hope View School</v>
          </cell>
          <cell r="B161" t="str">
            <v>IND.Special Scl OB</v>
          </cell>
        </row>
        <row r="162">
          <cell r="A162" t="str">
            <v>Icknield High School</v>
          </cell>
          <cell r="B162" t="str">
            <v>LUTON acad</v>
          </cell>
        </row>
        <row r="163">
          <cell r="A163" t="str">
            <v>Immanuel College</v>
          </cell>
          <cell r="B163" t="str">
            <v>IND. OB</v>
          </cell>
        </row>
        <row r="164">
          <cell r="A164" t="str">
            <v>Independent Jewish Day</v>
          </cell>
          <cell r="B164" t="str">
            <v>BARNET</v>
          </cell>
        </row>
        <row r="165">
          <cell r="A165" t="str">
            <v>Insights Education Centre</v>
          </cell>
          <cell r="B165" t="str">
            <v>IND.Special Scl OB</v>
          </cell>
        </row>
        <row r="166">
          <cell r="A166" t="str">
            <v>Inspirations Montessori Nursery</v>
          </cell>
          <cell r="B166" t="str">
            <v>IND. OB</v>
          </cell>
        </row>
        <row r="167">
          <cell r="A167" t="str">
            <v>International Community School</v>
          </cell>
          <cell r="B167" t="str">
            <v>IND. OB</v>
          </cell>
        </row>
        <row r="168">
          <cell r="A168" t="str">
            <v>Jack and Jill Playgroup</v>
          </cell>
          <cell r="B168" t="str">
            <v>IND. IB</v>
          </cell>
        </row>
        <row r="169">
          <cell r="A169" t="str">
            <v>Jack Taylor School</v>
          </cell>
          <cell r="B169" t="str">
            <v>CAMDEN maint</v>
          </cell>
        </row>
        <row r="170">
          <cell r="A170" t="str">
            <v>JCoSS</v>
          </cell>
          <cell r="B170" t="str">
            <v>BARNET</v>
          </cell>
        </row>
        <row r="171">
          <cell r="A171" t="str">
            <v>JFS</v>
          </cell>
          <cell r="B171" t="str">
            <v>BRENT maint</v>
          </cell>
        </row>
        <row r="172">
          <cell r="A172" t="str">
            <v>Joel Nursery</v>
          </cell>
          <cell r="B172" t="str">
            <v>IND. IB</v>
          </cell>
        </row>
        <row r="173">
          <cell r="A173" t="str">
            <v>Kenmore Park Infant School</v>
          </cell>
          <cell r="B173" t="str">
            <v>HARROW maint</v>
          </cell>
        </row>
        <row r="174">
          <cell r="A174" t="str">
            <v>Kenmore Park Middle School</v>
          </cell>
          <cell r="B174" t="str">
            <v>HARROW maint</v>
          </cell>
        </row>
        <row r="175">
          <cell r="A175" t="str">
            <v>Kensal Rise Resource Provision (Lang)</v>
          </cell>
          <cell r="B175" t="str">
            <v>BRENT maint</v>
          </cell>
        </row>
        <row r="176">
          <cell r="A176" t="str">
            <v>Kerem House Nursery</v>
          </cell>
          <cell r="B176" t="str">
            <v>IND. IB</v>
          </cell>
        </row>
        <row r="177">
          <cell r="A177" t="str">
            <v>Kerem School</v>
          </cell>
          <cell r="B177" t="str">
            <v>IND. IB</v>
          </cell>
        </row>
        <row r="178">
          <cell r="A178" t="str">
            <v>Kidz Choice Nursery</v>
          </cell>
          <cell r="B178" t="str">
            <v>IND. IB</v>
          </cell>
        </row>
        <row r="179">
          <cell r="A179" t="str">
            <v>King Alfred School</v>
          </cell>
          <cell r="B179" t="str">
            <v>IND. IB</v>
          </cell>
        </row>
        <row r="180">
          <cell r="A180" t="str">
            <v>Kingsbury High</v>
          </cell>
          <cell r="B180" t="str">
            <v>BRENT acad</v>
          </cell>
        </row>
        <row r="181">
          <cell r="A181" t="str">
            <v>Kingsbury High (Resourced Unit)</v>
          </cell>
          <cell r="B181" t="str">
            <v>BRENT acad</v>
          </cell>
        </row>
        <row r="182">
          <cell r="A182" t="str">
            <v>Kisharon</v>
          </cell>
          <cell r="B182" t="str">
            <v>IND.Special Scl IB</v>
          </cell>
        </row>
        <row r="183">
          <cell r="A183" t="str">
            <v>Kisharon</v>
          </cell>
          <cell r="B183" t="str">
            <v>IND.Special Scl IB</v>
          </cell>
        </row>
        <row r="184">
          <cell r="A184" t="str">
            <v>Kisimul School</v>
          </cell>
          <cell r="B184" t="str">
            <v>IND.Special Scl OB</v>
          </cell>
        </row>
        <row r="185">
          <cell r="A185" t="str">
            <v>Knightsfield School</v>
          </cell>
          <cell r="B185" t="str">
            <v>HERTS acad</v>
          </cell>
        </row>
        <row r="186">
          <cell r="A186" t="str">
            <v>La Sainte Union</v>
          </cell>
          <cell r="B186" t="str">
            <v>CAMDEN maint</v>
          </cell>
        </row>
        <row r="187">
          <cell r="A187" t="str">
            <v>Lakers School</v>
          </cell>
          <cell r="B187" t="str">
            <v>GLOUCS maint</v>
          </cell>
        </row>
        <row r="188">
          <cell r="A188" t="str">
            <v>Langham School</v>
          </cell>
          <cell r="B188">
            <v>0</v>
          </cell>
        </row>
        <row r="189">
          <cell r="A189" t="str">
            <v>Lavendale Montessori</v>
          </cell>
          <cell r="B189" t="str">
            <v>IND. IB</v>
          </cell>
        </row>
        <row r="190">
          <cell r="A190" t="str">
            <v>Laycock HI Resourced Provision</v>
          </cell>
          <cell r="B190" t="str">
            <v>ISLINGTON maint</v>
          </cell>
        </row>
        <row r="191">
          <cell r="A191" t="str">
            <v>Lea Manor</v>
          </cell>
          <cell r="B191" t="str">
            <v>LUTON maint</v>
          </cell>
        </row>
        <row r="192">
          <cell r="A192" t="str">
            <v>Learn for Life</v>
          </cell>
          <cell r="B192" t="str">
            <v>IND. OB</v>
          </cell>
        </row>
        <row r="193">
          <cell r="A193" t="str">
            <v>Learning Opportunities</v>
          </cell>
          <cell r="B193" t="str">
            <v>IND.Special Scl OB</v>
          </cell>
        </row>
        <row r="194">
          <cell r="A194" t="str">
            <v>Linden Lodge (wkly boarding)</v>
          </cell>
          <cell r="B194" t="str">
            <v>WANDSWORTH maint</v>
          </cell>
        </row>
        <row r="195">
          <cell r="A195" t="str">
            <v>Little Angels</v>
          </cell>
          <cell r="B195" t="str">
            <v>IND. IB</v>
          </cell>
        </row>
        <row r="196">
          <cell r="A196" t="str">
            <v>Loddon School</v>
          </cell>
          <cell r="B196" t="str">
            <v>IND.Special Scl OB</v>
          </cell>
        </row>
        <row r="197">
          <cell r="A197" t="str">
            <v>Lon Ctre for Child with CP (3 days)/Queenswell Jnr</v>
          </cell>
          <cell r="B197" t="str">
            <v>IND.Special Scl OB</v>
          </cell>
        </row>
        <row r="198">
          <cell r="A198" t="str">
            <v>London Academy</v>
          </cell>
          <cell r="B198" t="str">
            <v>IND. IB</v>
          </cell>
        </row>
        <row r="199">
          <cell r="A199" t="str">
            <v>London Academy Centre for Development of Speech &amp; Language</v>
          </cell>
          <cell r="B199" t="str">
            <v>IND. IB</v>
          </cell>
        </row>
        <row r="200">
          <cell r="A200" t="str">
            <v>London Centre for Children with Cerebral Palsy</v>
          </cell>
          <cell r="B200" t="str">
            <v>IND.Special Scl OB</v>
          </cell>
        </row>
        <row r="201">
          <cell r="A201" t="str">
            <v>London Jewish Girls High School</v>
          </cell>
          <cell r="B201" t="str">
            <v>IND. IB</v>
          </cell>
        </row>
        <row r="202">
          <cell r="A202" t="str">
            <v>Lonsdale School</v>
          </cell>
          <cell r="B202" t="str">
            <v>HERTS maint</v>
          </cell>
        </row>
        <row r="203">
          <cell r="A203" t="str">
            <v>Loreto College</v>
          </cell>
          <cell r="B203" t="str">
            <v>HERTS acad</v>
          </cell>
        </row>
        <row r="204">
          <cell r="A204" t="str">
            <v>Loreto RC School</v>
          </cell>
          <cell r="B204" t="str">
            <v>HERTS acad</v>
          </cell>
        </row>
        <row r="205">
          <cell r="A205" t="str">
            <v>Lubavitch of Edgware Kindergarten</v>
          </cell>
          <cell r="B205" t="str">
            <v>IND. IB</v>
          </cell>
        </row>
        <row r="206">
          <cell r="A206" t="str">
            <v>Lubavitch Ruth Lunzer Girls</v>
          </cell>
          <cell r="B206" t="str">
            <v>HACKNEY maint</v>
          </cell>
        </row>
        <row r="207">
          <cell r="A207" t="str">
            <v>Lubavitch Senior Girls</v>
          </cell>
          <cell r="B207" t="str">
            <v>HACKNEY maint</v>
          </cell>
        </row>
        <row r="208">
          <cell r="A208" t="str">
            <v>Lucimora Viera</v>
          </cell>
          <cell r="B208" t="str">
            <v>CHILDMINDER</v>
          </cell>
        </row>
        <row r="209">
          <cell r="A209" t="str">
            <v>Malorees Junior</v>
          </cell>
          <cell r="B209" t="str">
            <v>BRENT maint</v>
          </cell>
        </row>
        <row r="210">
          <cell r="A210" t="str">
            <v>Malorees Junior</v>
          </cell>
          <cell r="B210" t="str">
            <v>BRENT maint</v>
          </cell>
        </row>
        <row r="211">
          <cell r="A211" t="str">
            <v>Manor School</v>
          </cell>
          <cell r="B211" t="str">
            <v>BRENT maint</v>
          </cell>
        </row>
        <row r="212">
          <cell r="A212" t="str">
            <v>Manshead Upper ASD Provision</v>
          </cell>
          <cell r="B212" t="str">
            <v>CEN.BEDFORDSHIRE maint</v>
          </cell>
        </row>
        <row r="213">
          <cell r="A213" t="str">
            <v>Mapledown</v>
          </cell>
          <cell r="B213" t="str">
            <v>BARNET</v>
          </cell>
        </row>
        <row r="214">
          <cell r="A214" t="str">
            <v>Maria Montessori School</v>
          </cell>
          <cell r="B214" t="str">
            <v>IND. IB</v>
          </cell>
        </row>
        <row r="215">
          <cell r="A215" t="str">
            <v>Maria Montessori School</v>
          </cell>
          <cell r="B215" t="str">
            <v>IND. IB</v>
          </cell>
        </row>
        <row r="216">
          <cell r="A216" t="str">
            <v>Mary Hare Grammar (Berks)</v>
          </cell>
          <cell r="B216" t="str">
            <v>NON-MAIN SS OB</v>
          </cell>
        </row>
        <row r="217">
          <cell r="A217" t="str">
            <v>Mathilda Marks Kennedy</v>
          </cell>
          <cell r="B217" t="str">
            <v>BARNET</v>
          </cell>
        </row>
        <row r="218">
          <cell r="A218" t="str">
            <v>Matryoshka Montessori school</v>
          </cell>
          <cell r="B218" t="str">
            <v>IND. IB</v>
          </cell>
        </row>
        <row r="219">
          <cell r="A219" t="str">
            <v>Meadowfield Community School</v>
          </cell>
          <cell r="B219" t="str">
            <v>KENT maint</v>
          </cell>
        </row>
        <row r="220">
          <cell r="A220" t="str">
            <v>Meadows School</v>
          </cell>
          <cell r="B220" t="str">
            <v>NON-MAIN SS OB</v>
          </cell>
        </row>
        <row r="221">
          <cell r="A221" t="str">
            <v>Meldreth House</v>
          </cell>
          <cell r="B221" t="str">
            <v>IND.Special Scl OB</v>
          </cell>
        </row>
        <row r="222">
          <cell r="A222" t="str">
            <v>Menorah Foundation</v>
          </cell>
          <cell r="B222" t="str">
            <v>BARNET</v>
          </cell>
        </row>
        <row r="223">
          <cell r="A223" t="str">
            <v>Menorah Grammar</v>
          </cell>
          <cell r="B223" t="str">
            <v>IND. IB</v>
          </cell>
        </row>
        <row r="224">
          <cell r="A224" t="str">
            <v>Menorah Grammar Darchei Noam Centre</v>
          </cell>
          <cell r="B224" t="str">
            <v>IND. IB</v>
          </cell>
        </row>
        <row r="225">
          <cell r="A225" t="str">
            <v>Menorah High School for Girls</v>
          </cell>
          <cell r="B225" t="str">
            <v>IND. OB</v>
          </cell>
        </row>
        <row r="226">
          <cell r="A226" t="str">
            <v>Menorah Primary</v>
          </cell>
          <cell r="B226" t="str">
            <v>IND. IB</v>
          </cell>
        </row>
        <row r="227">
          <cell r="A227" t="str">
            <v>Michael Sobell Sinai</v>
          </cell>
          <cell r="B227" t="str">
            <v>BRENT maint</v>
          </cell>
        </row>
        <row r="228">
          <cell r="A228" t="str">
            <v>Mill Hill (Ind) School</v>
          </cell>
          <cell r="B228" t="str">
            <v>IND. IB</v>
          </cell>
        </row>
        <row r="229">
          <cell r="A229" t="str">
            <v>Mill Hill High School</v>
          </cell>
          <cell r="B229" t="str">
            <v>BARNET</v>
          </cell>
        </row>
        <row r="230">
          <cell r="A230" t="str">
            <v>MillHill High School/Specialist Team</v>
          </cell>
          <cell r="B230" t="str">
            <v>BARNET</v>
          </cell>
        </row>
        <row r="231">
          <cell r="A231" t="str">
            <v>Mill Hill School Foundation</v>
          </cell>
          <cell r="B231" t="str">
            <v>IND. IB</v>
          </cell>
        </row>
        <row r="232">
          <cell r="A232" t="str">
            <v>Miscellaneous</v>
          </cell>
          <cell r="B232">
            <v>0</v>
          </cell>
        </row>
        <row r="233">
          <cell r="A233" t="str">
            <v>Mitchell Brook Primary</v>
          </cell>
          <cell r="B233" t="str">
            <v>BRENT maint</v>
          </cell>
        </row>
        <row r="234">
          <cell r="A234" t="str">
            <v>Moat School (The)</v>
          </cell>
          <cell r="B234" t="str">
            <v>IND.Special Scl OB</v>
          </cell>
        </row>
        <row r="235">
          <cell r="A235" t="str">
            <v>Modern Montessori Pre-School</v>
          </cell>
          <cell r="B235" t="str">
            <v>IND. IB</v>
          </cell>
        </row>
        <row r="236">
          <cell r="A236" t="str">
            <v>More House (Farnham)</v>
          </cell>
          <cell r="B236" t="str">
            <v>IND. OB</v>
          </cell>
        </row>
        <row r="237">
          <cell r="A237" t="str">
            <v>Moss Hall Infants</v>
          </cell>
          <cell r="B237" t="str">
            <v>BARNET</v>
          </cell>
        </row>
        <row r="238">
          <cell r="A238" t="str">
            <v>Moss Hall Juniors</v>
          </cell>
          <cell r="B238" t="str">
            <v>BARNET</v>
          </cell>
        </row>
        <row r="239">
          <cell r="A239" t="str">
            <v>Mount Grace</v>
          </cell>
          <cell r="B239" t="str">
            <v>HERTS acad</v>
          </cell>
        </row>
        <row r="240">
          <cell r="A240" t="str">
            <v>Mulberry Bush School</v>
          </cell>
          <cell r="B240" t="str">
            <v>NON-MAIN SS OB</v>
          </cell>
        </row>
        <row r="241">
          <cell r="A241" t="str">
            <v>Muntham House</v>
          </cell>
          <cell r="B241" t="str">
            <v>NON-MAIN SS OB</v>
          </cell>
        </row>
        <row r="242">
          <cell r="A242" t="str">
            <v>Muswell Hill Primary</v>
          </cell>
          <cell r="B242" t="str">
            <v>HARINGEY maint</v>
          </cell>
        </row>
        <row r="243">
          <cell r="A243" t="str">
            <v>Nancy Reuben Primary</v>
          </cell>
          <cell r="B243" t="str">
            <v>IND. IB</v>
          </cell>
        </row>
        <row r="244">
          <cell r="A244" t="str">
            <v>New Woodlands</v>
          </cell>
          <cell r="B244" t="str">
            <v>LEWISHAM maint</v>
          </cell>
        </row>
        <row r="245">
          <cell r="A245" t="str">
            <v>Newman Catholic College</v>
          </cell>
          <cell r="B245" t="str">
            <v>BRENT maint</v>
          </cell>
        </row>
        <row r="246">
          <cell r="A246" t="str">
            <v>Newstead Children's Centre</v>
          </cell>
          <cell r="B246" t="str">
            <v>BARNET</v>
          </cell>
        </row>
        <row r="247">
          <cell r="A247" t="str">
            <v>Nightingale Day Nursery</v>
          </cell>
          <cell r="B247" t="str">
            <v>IND. IB</v>
          </cell>
        </row>
        <row r="248">
          <cell r="A248" t="str">
            <v>Noam Primary School</v>
          </cell>
          <cell r="B248" t="str">
            <v>IND. IB</v>
          </cell>
        </row>
        <row r="249">
          <cell r="A249" t="str">
            <v>North West London Ind. Jewish Day</v>
          </cell>
          <cell r="B249" t="str">
            <v>BRENT maint</v>
          </cell>
        </row>
        <row r="250">
          <cell r="A250" t="str">
            <v>Northgate School</v>
          </cell>
          <cell r="B250" t="str">
            <v>BARNET</v>
          </cell>
        </row>
        <row r="251">
          <cell r="A251" t="str">
            <v>Northway School</v>
          </cell>
          <cell r="B251" t="str">
            <v>BARNET</v>
          </cell>
        </row>
        <row r="252">
          <cell r="A252" t="str">
            <v>Norwood Nursery</v>
          </cell>
          <cell r="B252" t="str">
            <v>IND. IB</v>
          </cell>
        </row>
        <row r="253">
          <cell r="A253" t="str">
            <v>Nower Hill High</v>
          </cell>
          <cell r="B253" t="str">
            <v>HARROW acad</v>
          </cell>
        </row>
        <row r="254">
          <cell r="A254" t="str">
            <v>NT&amp;AS</v>
          </cell>
          <cell r="B254" t="str">
            <v>IND. OB</v>
          </cell>
        </row>
        <row r="255">
          <cell r="A255" t="str">
            <v>NW London Ind. Special School (TCES)</v>
          </cell>
          <cell r="B255" t="str">
            <v>IND.Special Scl OB</v>
          </cell>
        </row>
        <row r="256">
          <cell r="A256" t="str">
            <v>Oak Hill Campus</v>
          </cell>
          <cell r="B256" t="str">
            <v>BARNET</v>
          </cell>
        </row>
        <row r="257">
          <cell r="A257" t="str">
            <v>Oak Hill Montessori / Livingstone</v>
          </cell>
          <cell r="B257" t="str">
            <v>IND. IB</v>
          </cell>
        </row>
        <row r="258">
          <cell r="A258" t="str">
            <v>Oak Lodge</v>
          </cell>
          <cell r="B258" t="str">
            <v>WANDSWORTH maint</v>
          </cell>
        </row>
        <row r="259">
          <cell r="A259" t="str">
            <v>Oak Lodge School</v>
          </cell>
          <cell r="B259" t="str">
            <v>BARNET</v>
          </cell>
        </row>
        <row r="260">
          <cell r="A260" t="str">
            <v>Oak Tree</v>
          </cell>
          <cell r="B260" t="str">
            <v>ENFIELD maint</v>
          </cell>
        </row>
        <row r="261">
          <cell r="A261" t="str">
            <v>Oakleigh School</v>
          </cell>
          <cell r="B261" t="str">
            <v>BARNET</v>
          </cell>
        </row>
        <row r="262">
          <cell r="A262" t="str">
            <v>Oaktree</v>
          </cell>
          <cell r="B262" t="str">
            <v>ENFIELD maint</v>
          </cell>
        </row>
        <row r="263">
          <cell r="A263" t="str">
            <v>Oakwood School (Barford Care)</v>
          </cell>
          <cell r="B263" t="str">
            <v>IND.Special Scl OB</v>
          </cell>
        </row>
        <row r="264">
          <cell r="A264" t="str">
            <v>Old Barn Pre-School</v>
          </cell>
          <cell r="B264" t="str">
            <v>IND. IB</v>
          </cell>
        </row>
        <row r="265">
          <cell r="A265" t="str">
            <v>Old Priory School (The)</v>
          </cell>
          <cell r="B265" t="str">
            <v>IND. OB</v>
          </cell>
        </row>
        <row r="266">
          <cell r="A266" t="str">
            <v>Our Lady of Lourdes</v>
          </cell>
          <cell r="B266" t="str">
            <v>ENFIELD maint</v>
          </cell>
        </row>
        <row r="267">
          <cell r="A267" t="str">
            <v>Our Lady of Muswell RC Primary</v>
          </cell>
          <cell r="B267" t="str">
            <v>HARINGEY maint</v>
          </cell>
        </row>
        <row r="268">
          <cell r="A268" t="str">
            <v>Pace Centre</v>
          </cell>
          <cell r="B268" t="str">
            <v>IND.Special Scl OB</v>
          </cell>
        </row>
        <row r="269">
          <cell r="A269" t="str">
            <v>Palmers Green High School</v>
          </cell>
          <cell r="B269" t="str">
            <v>IND. OB</v>
          </cell>
        </row>
        <row r="270">
          <cell r="A270" t="str">
            <v>Parayhouse</v>
          </cell>
          <cell r="B270" t="str">
            <v>NON-MAIN SS OB</v>
          </cell>
        </row>
        <row r="271">
          <cell r="A271" t="str">
            <v>Pardes House Grammar</v>
          </cell>
          <cell r="B271" t="str">
            <v>IND. IB</v>
          </cell>
        </row>
        <row r="272">
          <cell r="A272" t="str">
            <v>Pardes House Primary</v>
          </cell>
          <cell r="B272" t="str">
            <v>BARNET</v>
          </cell>
        </row>
        <row r="273">
          <cell r="A273" t="str">
            <v>Parkfield Children's Centre</v>
          </cell>
          <cell r="B273" t="str">
            <v>BARNET</v>
          </cell>
        </row>
        <row r="274">
          <cell r="A274" t="str">
            <v>Parkwood Hall (wkly boarding)</v>
          </cell>
          <cell r="B274" t="str">
            <v>KEN&amp;CHELSEA maint</v>
          </cell>
        </row>
        <row r="275">
          <cell r="A275" t="str">
            <v>Pathfield Primary</v>
          </cell>
          <cell r="B275" t="str">
            <v>DEVON maint</v>
          </cell>
        </row>
        <row r="276">
          <cell r="A276" t="str">
            <v>Penn School</v>
          </cell>
          <cell r="B276" t="str">
            <v>NON-MAIN SS OB</v>
          </cell>
        </row>
        <row r="277">
          <cell r="A277" t="str">
            <v>Philpots Manor School</v>
          </cell>
          <cell r="B277" t="str">
            <v>IND.Special Scl OB</v>
          </cell>
        </row>
        <row r="278">
          <cell r="A278" t="str">
            <v>Phoenix School</v>
          </cell>
          <cell r="B278" t="str">
            <v>PETERBOROUGH maint</v>
          </cell>
        </row>
        <row r="279">
          <cell r="A279" t="str">
            <v>Pield Heath House (Middx)</v>
          </cell>
          <cell r="B279" t="str">
            <v>NON-MAIN SS OB</v>
          </cell>
        </row>
        <row r="280">
          <cell r="A280" t="str">
            <v>Pinewood School</v>
          </cell>
          <cell r="B280" t="str">
            <v>HERTS maint</v>
          </cell>
        </row>
        <row r="281">
          <cell r="A281" t="str">
            <v>Portal House School</v>
          </cell>
          <cell r="B281" t="str">
            <v>KENT maint</v>
          </cell>
        </row>
        <row r="282">
          <cell r="A282" t="str">
            <v>Portland Place</v>
          </cell>
          <cell r="B282" t="str">
            <v>IND. OB</v>
          </cell>
        </row>
        <row r="283">
          <cell r="A283" t="str">
            <v>Preston Manor</v>
          </cell>
          <cell r="B283" t="str">
            <v>BRENT acad</v>
          </cell>
        </row>
        <row r="284">
          <cell r="A284" t="str">
            <v>Prior's Court School</v>
          </cell>
          <cell r="B284" t="str">
            <v>IND. OB</v>
          </cell>
        </row>
        <row r="285">
          <cell r="A285" t="str">
            <v>Purbeck View School</v>
          </cell>
          <cell r="B285" t="str">
            <v>IND.Special Scl OB</v>
          </cell>
        </row>
        <row r="286">
          <cell r="A286" t="str">
            <v>Puss in Boots Nursery (Southgate)</v>
          </cell>
          <cell r="B286" t="str">
            <v>IND. OB</v>
          </cell>
        </row>
        <row r="287">
          <cell r="A287" t="str">
            <v>QE Girls</v>
          </cell>
          <cell r="B287" t="str">
            <v>BARNET</v>
          </cell>
        </row>
        <row r="288">
          <cell r="A288" t="str">
            <v>Queens Park Community School</v>
          </cell>
          <cell r="B288" t="str">
            <v>BRENT acad</v>
          </cell>
        </row>
        <row r="289">
          <cell r="A289" t="str">
            <v>Queenswell Infant (SEN contingency funding)</v>
          </cell>
          <cell r="B289" t="str">
            <v>BARNET</v>
          </cell>
        </row>
        <row r="290">
          <cell r="A290" t="str">
            <v>Radlett Lodge (Day)</v>
          </cell>
          <cell r="B290" t="str">
            <v>IND.Special Scl OB</v>
          </cell>
        </row>
        <row r="291">
          <cell r="A291" t="str">
            <v>Radlett Lodge (Residential)</v>
          </cell>
          <cell r="B291" t="str">
            <v>IND.Special Scl OB</v>
          </cell>
        </row>
        <row r="292">
          <cell r="A292" t="str">
            <v>Red Balloon Learner Centre, Harrow</v>
          </cell>
          <cell r="B292" t="str">
            <v>IND. OB</v>
          </cell>
        </row>
        <row r="293">
          <cell r="A293" t="str">
            <v>Redbridge Tuition Service (PRU)</v>
          </cell>
          <cell r="B293" t="str">
            <v>REDBRIDGE maint</v>
          </cell>
        </row>
        <row r="294">
          <cell r="A294" t="str">
            <v>Rhodes Avenue Primary School</v>
          </cell>
          <cell r="B294" t="str">
            <v>HARINGEY maint</v>
          </cell>
        </row>
        <row r="295">
          <cell r="A295" t="str">
            <v>Rhodes Farm School</v>
          </cell>
          <cell r="B295" t="str">
            <v>IND. IB</v>
          </cell>
        </row>
        <row r="296">
          <cell r="A296" t="str">
            <v>Richard Cloudesley</v>
          </cell>
          <cell r="B296" t="str">
            <v>ISLINGTON maint</v>
          </cell>
        </row>
        <row r="297">
          <cell r="A297" t="str">
            <v>Robinsfield Infant School</v>
          </cell>
          <cell r="B297" t="str">
            <v>WESTMINSTER maint</v>
          </cell>
        </row>
        <row r="298">
          <cell r="A298" t="str">
            <v>Rosary RC Primary</v>
          </cell>
          <cell r="B298" t="str">
            <v>CAMDEN maint</v>
          </cell>
        </row>
        <row r="299">
          <cell r="A299" t="str">
            <v>Rosh Pinah School</v>
          </cell>
          <cell r="B299" t="str">
            <v>BARNET</v>
          </cell>
        </row>
        <row r="300">
          <cell r="A300" t="str">
            <v>Rushkin Mill</v>
          </cell>
          <cell r="B300" t="str">
            <v>IND. OB</v>
          </cell>
        </row>
        <row r="301">
          <cell r="A301" t="str">
            <v>Ryl Sch, Deaf Child, Westgate College</v>
          </cell>
          <cell r="B301" t="str">
            <v>NON-MAIN SS OB</v>
          </cell>
        </row>
        <row r="302">
          <cell r="A302" t="str">
            <v>Salcombe Preparatory School</v>
          </cell>
          <cell r="B302" t="str">
            <v>IND. IB</v>
          </cell>
        </row>
        <row r="303">
          <cell r="A303" t="str">
            <v>Salcombe Preparotory</v>
          </cell>
          <cell r="B303" t="str">
            <v>IND. IB</v>
          </cell>
        </row>
        <row r="304">
          <cell r="A304" t="str">
            <v>Salcombe Preparotory School</v>
          </cell>
          <cell r="B304" t="str">
            <v>IND. OB</v>
          </cell>
        </row>
        <row r="305">
          <cell r="A305" t="str">
            <v>Salvatorian RC College</v>
          </cell>
          <cell r="B305" t="str">
            <v>HARROW acad</v>
          </cell>
        </row>
        <row r="306">
          <cell r="A306" t="str">
            <v>Sandringham School</v>
          </cell>
          <cell r="B306" t="str">
            <v>HERTS acad</v>
          </cell>
        </row>
        <row r="307">
          <cell r="A307" t="str">
            <v>Sandwich Technology School</v>
          </cell>
          <cell r="B307" t="str">
            <v>KENT acad</v>
          </cell>
        </row>
        <row r="308">
          <cell r="A308" t="str">
            <v>Shaftesbury High School</v>
          </cell>
          <cell r="B308" t="str">
            <v>HARROW maint</v>
          </cell>
        </row>
        <row r="309">
          <cell r="A309" t="str">
            <v>Side by Side Kids School</v>
          </cell>
          <cell r="B309" t="str">
            <v>IND. OB</v>
          </cell>
        </row>
        <row r="310">
          <cell r="A310" t="str">
            <v>Southgate School</v>
          </cell>
          <cell r="B310" t="str">
            <v>ENFIELD maint</v>
          </cell>
        </row>
        <row r="311">
          <cell r="A311" t="str">
            <v>Southover Partnership School</v>
          </cell>
          <cell r="B311" t="str">
            <v>IND.Special Scl IB</v>
          </cell>
        </row>
        <row r="312">
          <cell r="A312" t="str">
            <v>Speech, Language and Hearing Centre</v>
          </cell>
          <cell r="B312" t="str">
            <v>IND. OB</v>
          </cell>
        </row>
        <row r="313">
          <cell r="A313" t="str">
            <v>Spring Hill School</v>
          </cell>
          <cell r="B313" t="str">
            <v>NON-MAIN SS OB</v>
          </cell>
        </row>
        <row r="314">
          <cell r="A314" t="str">
            <v>St Andrew's Southgate Primary (CE)</v>
          </cell>
          <cell r="B314" t="str">
            <v>ENFIELD maint</v>
          </cell>
        </row>
        <row r="315">
          <cell r="A315" t="str">
            <v>St Christopher School</v>
          </cell>
          <cell r="B315" t="str">
            <v>IND. OB</v>
          </cell>
        </row>
        <row r="316">
          <cell r="A316" t="str">
            <v>St Columbas College</v>
          </cell>
          <cell r="B316" t="str">
            <v>IND. OB</v>
          </cell>
        </row>
        <row r="317">
          <cell r="A317" t="str">
            <v>St David's College</v>
          </cell>
          <cell r="B317" t="str">
            <v>Welsh estab.</v>
          </cell>
        </row>
        <row r="318">
          <cell r="A318" t="str">
            <v>St Elizabeth's Centre</v>
          </cell>
          <cell r="B318" t="str">
            <v>NON-MAIN SS OB</v>
          </cell>
        </row>
        <row r="319">
          <cell r="A319" t="str">
            <v>St Eugene de Mazenod RC Primary</v>
          </cell>
          <cell r="B319" t="str">
            <v>CAMDEN maint</v>
          </cell>
        </row>
        <row r="320">
          <cell r="A320" t="str">
            <v>St Gilda's Catholic Junior</v>
          </cell>
          <cell r="B320" t="str">
            <v>HARINGEY maint</v>
          </cell>
        </row>
        <row r="321">
          <cell r="A321" t="str">
            <v>St Gregory Catholic Science College</v>
          </cell>
          <cell r="B321" t="str">
            <v>BRENT maint</v>
          </cell>
        </row>
        <row r="322">
          <cell r="A322" t="str">
            <v>St Ignatius  College</v>
          </cell>
          <cell r="B322" t="str">
            <v>ENFIELD maint</v>
          </cell>
        </row>
        <row r="323">
          <cell r="A323" t="str">
            <v>St John's N20</v>
          </cell>
          <cell r="B323" t="str">
            <v>BARNET</v>
          </cell>
        </row>
        <row r="324">
          <cell r="A324" t="str">
            <v>St John's School, Whetstone</v>
          </cell>
          <cell r="B324" t="str">
            <v>IND. IB</v>
          </cell>
        </row>
        <row r="325">
          <cell r="A325" t="str">
            <v>St Joseph's RC Primary School</v>
          </cell>
          <cell r="B325" t="str">
            <v>BRENT maint</v>
          </cell>
        </row>
        <row r="326">
          <cell r="A326" t="str">
            <v>St Lukes School</v>
          </cell>
          <cell r="B326" t="str">
            <v>HERTS maint</v>
          </cell>
        </row>
        <row r="327">
          <cell r="A327" t="str">
            <v>St Martha's School</v>
          </cell>
          <cell r="B327" t="str">
            <v>IND. IB</v>
          </cell>
        </row>
        <row r="328">
          <cell r="A328" t="str">
            <v>St Martin's School</v>
          </cell>
          <cell r="B328" t="str">
            <v>IND. IB</v>
          </cell>
        </row>
        <row r="329">
          <cell r="A329" t="str">
            <v>St Mary's High School</v>
          </cell>
          <cell r="B329" t="str">
            <v>BARNET</v>
          </cell>
        </row>
        <row r="330">
          <cell r="A330" t="str">
            <v>St Mary's Wrestwood Children's Trust</v>
          </cell>
          <cell r="B330" t="str">
            <v>NON-MAIN SS OB</v>
          </cell>
        </row>
        <row r="331">
          <cell r="A331" t="str">
            <v>St Michael's CofE Primary</v>
          </cell>
          <cell r="B331" t="str">
            <v>HARINGEY acad</v>
          </cell>
        </row>
        <row r="332">
          <cell r="A332" t="str">
            <v>St Nicholas School</v>
          </cell>
          <cell r="B332" t="str">
            <v>SOUTHEND maint</v>
          </cell>
        </row>
        <row r="333">
          <cell r="A333" t="str">
            <v>St Peter In chains Infant School</v>
          </cell>
          <cell r="B333" t="str">
            <v>HARINGEY maint</v>
          </cell>
        </row>
        <row r="334">
          <cell r="A334" t="str">
            <v>St Swithin Wells School</v>
          </cell>
          <cell r="B334" t="str">
            <v>HARROW maint</v>
          </cell>
        </row>
        <row r="335">
          <cell r="A335" t="str">
            <v>St. George's CofE Foundation School</v>
          </cell>
          <cell r="B335" t="str">
            <v>KENT acad</v>
          </cell>
        </row>
        <row r="336">
          <cell r="A336" t="str">
            <v>St. Luke's</v>
          </cell>
          <cell r="B336" t="str">
            <v>HERTS maint</v>
          </cell>
        </row>
        <row r="337">
          <cell r="A337" t="str">
            <v>St. Martin's School (Mill Hill)</v>
          </cell>
          <cell r="B337" t="str">
            <v>IND. IB</v>
          </cell>
        </row>
        <row r="338">
          <cell r="A338" t="str">
            <v>St. Mary's (NW3)</v>
          </cell>
          <cell r="B338" t="str">
            <v>IND. IB</v>
          </cell>
        </row>
        <row r="339">
          <cell r="A339" t="str">
            <v>St. Robert Southwell RC Primary</v>
          </cell>
          <cell r="B339" t="str">
            <v>BRENT maint</v>
          </cell>
        </row>
        <row r="340">
          <cell r="A340" t="str">
            <v>Stanbridge Earls School</v>
          </cell>
          <cell r="B340" t="str">
            <v>IND. OB</v>
          </cell>
        </row>
        <row r="341">
          <cell r="A341" t="str">
            <v>Step by Step Montessori</v>
          </cell>
          <cell r="B341" t="str">
            <v>IND. IB</v>
          </cell>
        </row>
        <row r="342">
          <cell r="A342" t="str">
            <v>Stormont House</v>
          </cell>
          <cell r="B342" t="str">
            <v>HACKNEY maint</v>
          </cell>
        </row>
        <row r="343">
          <cell r="A343" t="str">
            <v>Stormont School</v>
          </cell>
          <cell r="B343" t="str">
            <v>IND. OB</v>
          </cell>
        </row>
        <row r="344">
          <cell r="A344" t="str">
            <v>Streetfield Middle School</v>
          </cell>
          <cell r="B344" t="str">
            <v>CEN.BEDFORDSHIRE maint</v>
          </cell>
        </row>
        <row r="345">
          <cell r="A345" t="str">
            <v>Subscription to NASS x 2</v>
          </cell>
          <cell r="B345" t="str">
            <v>Subscription</v>
          </cell>
        </row>
        <row r="346">
          <cell r="A346" t="str">
            <v>Summerside Primary School</v>
          </cell>
          <cell r="B346" t="str">
            <v>BARNET</v>
          </cell>
        </row>
        <row r="347">
          <cell r="A347" t="str">
            <v>Sunfield School, Worcestershire</v>
          </cell>
          <cell r="B347" t="str">
            <v>IND. OB</v>
          </cell>
        </row>
        <row r="348">
          <cell r="A348" t="str">
            <v>Swalcliffe Park School</v>
          </cell>
          <cell r="B348" t="str">
            <v>NON-MAIN SS OB</v>
          </cell>
        </row>
        <row r="349">
          <cell r="A349" t="str">
            <v>Swiss Cottage</v>
          </cell>
          <cell r="B349" t="str">
            <v>CAMDEN maint</v>
          </cell>
        </row>
        <row r="350">
          <cell r="A350" t="str">
            <v>Sybil Elgar</v>
          </cell>
          <cell r="B350" t="str">
            <v>IND.Special Scl OB</v>
          </cell>
        </row>
        <row r="351">
          <cell r="A351" t="str">
            <v>Tadley Horizon</v>
          </cell>
          <cell r="B351" t="str">
            <v>IND.Special Scl OB</v>
          </cell>
        </row>
        <row r="352">
          <cell r="A352" t="str">
            <v>Talmud Torah Tiferes</v>
          </cell>
          <cell r="B352" t="str">
            <v>IND. IB</v>
          </cell>
        </row>
        <row r="353">
          <cell r="A353" t="str">
            <v>Talmud Torah Tiferes Schlomo</v>
          </cell>
          <cell r="B353" t="str">
            <v>IND. IB</v>
          </cell>
        </row>
        <row r="354">
          <cell r="A354" t="str">
            <v>TCES (East London)</v>
          </cell>
          <cell r="B354" t="str">
            <v>IND.Special Scl OB</v>
          </cell>
        </row>
        <row r="355">
          <cell r="A355" t="str">
            <v>TCES (NW London)</v>
          </cell>
          <cell r="B355" t="str">
            <v>IND.Special Scl OB</v>
          </cell>
        </row>
        <row r="356">
          <cell r="A356" t="str">
            <v>Tendering Technology College</v>
          </cell>
          <cell r="B356" t="str">
            <v>ESSEX acad</v>
          </cell>
        </row>
        <row r="357">
          <cell r="A357" t="str">
            <v>Tetherdown Primary</v>
          </cell>
          <cell r="B357" t="str">
            <v>HARINGEY maint</v>
          </cell>
        </row>
        <row r="358">
          <cell r="A358" t="str">
            <v>The Bridge School</v>
          </cell>
          <cell r="B358" t="str">
            <v>ISLINGTON maint</v>
          </cell>
        </row>
        <row r="359">
          <cell r="A359" t="str">
            <v>The Broom School (previously Moselle)</v>
          </cell>
          <cell r="B359" t="str">
            <v>HARINGEY maint</v>
          </cell>
        </row>
        <row r="360">
          <cell r="A360" t="str">
            <v>The Camden School for Girls</v>
          </cell>
          <cell r="B360" t="str">
            <v>CAMDEN maint</v>
          </cell>
        </row>
        <row r="361">
          <cell r="A361" t="str">
            <v>The Cornwallis Academy</v>
          </cell>
          <cell r="B361" t="str">
            <v>KENT maint</v>
          </cell>
        </row>
        <row r="362">
          <cell r="A362" t="str">
            <v>The Forum School</v>
          </cell>
          <cell r="B362" t="str">
            <v>IND.Special Scl OB</v>
          </cell>
        </row>
        <row r="363">
          <cell r="A363" t="str">
            <v>The Holmewood School</v>
          </cell>
          <cell r="B363" t="str">
            <v>IND.Special Scl IB</v>
          </cell>
        </row>
        <row r="364">
          <cell r="A364" t="str">
            <v>The Hyde Children's Centre</v>
          </cell>
          <cell r="B364" t="str">
            <v>BARNET</v>
          </cell>
        </row>
        <row r="365">
          <cell r="A365" t="str">
            <v>The Mount School (Mill Hill)</v>
          </cell>
          <cell r="B365" t="str">
            <v>IND. IB</v>
          </cell>
        </row>
        <row r="366">
          <cell r="A366" t="str">
            <v>The North London International School</v>
          </cell>
          <cell r="B366" t="str">
            <v>IND. IB</v>
          </cell>
        </row>
        <row r="367">
          <cell r="A367" t="str">
            <v>The Old School, Folkestone</v>
          </cell>
          <cell r="B367" t="str">
            <v>IND.Special Scl OB</v>
          </cell>
        </row>
        <row r="368">
          <cell r="A368" t="str">
            <v>The Ravenscroft School</v>
          </cell>
          <cell r="B368" t="str">
            <v>BARNET</v>
          </cell>
        </row>
        <row r="369">
          <cell r="A369" t="str">
            <v>The Ryes College</v>
          </cell>
          <cell r="B369" t="str">
            <v>IND.Special Scl OB</v>
          </cell>
        </row>
        <row r="370">
          <cell r="A370" t="str">
            <v>The Serendipity Centre</v>
          </cell>
          <cell r="B370" t="str">
            <v>IND.Special Scl OB</v>
          </cell>
        </row>
        <row r="371">
          <cell r="A371" t="str">
            <v>The Tavistock Children's Day Unit, - Block Contract £229,772</v>
          </cell>
          <cell r="B371">
            <v>0</v>
          </cell>
        </row>
        <row r="372">
          <cell r="A372" t="str">
            <v>The Tavistock Children's Day Unit, Gloucester Hse</v>
          </cell>
          <cell r="B372" t="str">
            <v>IND.Special Scl OB</v>
          </cell>
        </row>
        <row r="373">
          <cell r="A373" t="str">
            <v>The Village</v>
          </cell>
          <cell r="B373" t="str">
            <v>BRENT maint</v>
          </cell>
        </row>
        <row r="374">
          <cell r="A374" t="str">
            <v>The Willow Primary</v>
          </cell>
          <cell r="B374" t="str">
            <v>HARINGEY maint</v>
          </cell>
        </row>
        <row r="375">
          <cell r="A375" t="str">
            <v>The Wing Centre, Bournemouth</v>
          </cell>
          <cell r="B375" t="str">
            <v>Special College</v>
          </cell>
        </row>
        <row r="376">
          <cell r="A376" t="str">
            <v>3 Dimensions School</v>
          </cell>
          <cell r="B376" t="str">
            <v>IND.Special Scl OB</v>
          </cell>
        </row>
        <row r="377">
          <cell r="A377" t="str">
            <v>Torah Vodaas School</v>
          </cell>
          <cell r="B377" t="str">
            <v>IND. IB</v>
          </cell>
        </row>
        <row r="378">
          <cell r="A378" t="str">
            <v>Torriano Primary (Language Unit)</v>
          </cell>
          <cell r="B378" t="str">
            <v>CAMDEN maint</v>
          </cell>
        </row>
        <row r="379">
          <cell r="A379" t="str">
            <v>Totteridge Academy</v>
          </cell>
          <cell r="B379" t="str">
            <v>BARNET</v>
          </cell>
        </row>
        <row r="380">
          <cell r="A380" t="str">
            <v>TreeHouse (Primary)</v>
          </cell>
          <cell r="B380" t="str">
            <v>NON-MAIN SS OB</v>
          </cell>
        </row>
        <row r="381">
          <cell r="A381" t="str">
            <v>TreeHouse (Secondary)</v>
          </cell>
          <cell r="B381" t="str">
            <v>NON-MAIN SS OB</v>
          </cell>
        </row>
        <row r="382">
          <cell r="A382" t="str">
            <v>Treloar School</v>
          </cell>
          <cell r="B382" t="str">
            <v>NON-MAIN SS OB</v>
          </cell>
        </row>
        <row r="383">
          <cell r="A383" t="str">
            <v>Trinity CofE High School</v>
          </cell>
          <cell r="B383" t="str">
            <v>MANCHESTER acad</v>
          </cell>
        </row>
        <row r="384">
          <cell r="A384" t="str">
            <v>TUFFKID</v>
          </cell>
          <cell r="B384" t="str">
            <v>IND. IB</v>
          </cell>
        </row>
        <row r="385">
          <cell r="A385" t="str">
            <v>Tuffnell Park Primary</v>
          </cell>
          <cell r="B385" t="str">
            <v>ISLINGTON maint</v>
          </cell>
        </row>
        <row r="386">
          <cell r="A386" t="str">
            <v>Tumblewood</v>
          </cell>
          <cell r="B386" t="str">
            <v>IND.Special Scl OB</v>
          </cell>
        </row>
        <row r="387">
          <cell r="A387" t="str">
            <v>Turnstone Shouse</v>
          </cell>
          <cell r="B387" t="str">
            <v>IND. OB</v>
          </cell>
        </row>
        <row r="388">
          <cell r="A388" t="str">
            <v>Underhill Children's Centre</v>
          </cell>
          <cell r="B388" t="str">
            <v>BARNET</v>
          </cell>
        </row>
        <row r="389">
          <cell r="A389" t="str">
            <v>Underhill Jnr/Specialist Team</v>
          </cell>
          <cell r="B389" t="str">
            <v>BARNET</v>
          </cell>
        </row>
        <row r="390">
          <cell r="A390" t="str">
            <v>Underley Garden School</v>
          </cell>
          <cell r="B390" t="str">
            <v>IND.Special Scl OB</v>
          </cell>
        </row>
        <row r="391">
          <cell r="A391" t="str">
            <v>Valley Pre-School</v>
          </cell>
          <cell r="B391" t="str">
            <v>IND. IB</v>
          </cell>
        </row>
        <row r="392">
          <cell r="A392" t="str">
            <v>WAC performing ARTs &amp; Music College</v>
          </cell>
          <cell r="B392" t="str">
            <v>BARNET</v>
          </cell>
        </row>
        <row r="393">
          <cell r="A393" t="str">
            <v>Watling View</v>
          </cell>
          <cell r="B393" t="str">
            <v>HERTS maint</v>
          </cell>
        </row>
        <row r="394">
          <cell r="A394" t="str">
            <v>Waverely</v>
          </cell>
          <cell r="B394" t="str">
            <v>ENFIELD maint</v>
          </cell>
        </row>
        <row r="395">
          <cell r="A395" t="str">
            <v>Wellgrove School</v>
          </cell>
          <cell r="B395" t="str">
            <v>IND. IB</v>
          </cell>
        </row>
        <row r="396">
          <cell r="A396" t="str">
            <v>West Lea</v>
          </cell>
          <cell r="B396" t="str">
            <v>ENFIELD maint</v>
          </cell>
        </row>
        <row r="397">
          <cell r="A397" t="str">
            <v>White Spire</v>
          </cell>
          <cell r="B397" t="str">
            <v>MILTONKEYNES maint</v>
          </cell>
        </row>
        <row r="398">
          <cell r="A398" t="str">
            <v>Whitefield</v>
          </cell>
          <cell r="B398" t="str">
            <v>WALTHAMFOREST acad</v>
          </cell>
        </row>
        <row r="399">
          <cell r="A399" t="str">
            <v>William C. Harvey</v>
          </cell>
          <cell r="B399" t="str">
            <v>HARINGEY maint</v>
          </cell>
        </row>
        <row r="400">
          <cell r="A400" t="str">
            <v>Windermere Primary</v>
          </cell>
          <cell r="B400" t="str">
            <v>HERTS maint</v>
          </cell>
        </row>
        <row r="401">
          <cell r="A401" t="str">
            <v>Wingfield Children's Centre</v>
          </cell>
          <cell r="B401" t="str">
            <v>BARNET</v>
          </cell>
        </row>
        <row r="402">
          <cell r="A402" t="str">
            <v>Wisdom Primary &amp; Secondary School</v>
          </cell>
          <cell r="B402" t="str">
            <v>IND. OB</v>
          </cell>
        </row>
        <row r="403">
          <cell r="A403" t="str">
            <v>Wolfson Hillel Primary</v>
          </cell>
          <cell r="B403" t="str">
            <v>ENFIELD maint</v>
          </cell>
        </row>
        <row r="404">
          <cell r="A404" t="str">
            <v>Woodcroft School</v>
          </cell>
          <cell r="B404" t="str">
            <v>IND.Special Scl OB</v>
          </cell>
        </row>
        <row r="405">
          <cell r="A405" t="str">
            <v>Woodfield School</v>
          </cell>
          <cell r="B405" t="str">
            <v>BRENT acad</v>
          </cell>
        </row>
        <row r="406">
          <cell r="A406" t="str">
            <v>Woodridge School</v>
          </cell>
          <cell r="B406" t="str">
            <v>BARNET</v>
          </cell>
        </row>
        <row r="407">
          <cell r="A407" t="str">
            <v>Woodside High School</v>
          </cell>
          <cell r="B407" t="str">
            <v>HARINGEY acad</v>
          </cell>
        </row>
        <row r="408">
          <cell r="A408" t="str">
            <v>Wren Academy</v>
          </cell>
          <cell r="B408" t="str">
            <v>IND. IB</v>
          </cell>
        </row>
        <row r="409">
          <cell r="A409" t="str">
            <v>Wren Academy</v>
          </cell>
          <cell r="B409" t="str">
            <v>INDEPENDENT</v>
          </cell>
        </row>
        <row r="410">
          <cell r="A410" t="str">
            <v>WrireTrak</v>
          </cell>
          <cell r="B410" t="str">
            <v>IND. OB</v>
          </cell>
        </row>
        <row r="411">
          <cell r="A411" t="str">
            <v>Yaveneh College</v>
          </cell>
          <cell r="B411" t="str">
            <v>HERTS acad</v>
          </cell>
        </row>
      </sheetData>
      <sheetData sheetId="16"/>
      <sheetData sheetId="17"/>
      <sheetData sheetId="18"/>
      <sheetData sheetId="19"/>
      <sheetData sheetId="20"/>
      <sheetData sheetId="21"/>
      <sheetData sheetId="22"/>
      <sheetData sheetId="23"/>
      <sheetData sheetId="24"/>
      <sheetData sheetId="25"/>
      <sheetData sheetId="26"/>
      <sheetData sheetId="27">
        <row r="3">
          <cell r="A3">
            <v>279693</v>
          </cell>
        </row>
      </sheetData>
      <sheetData sheetId="28">
        <row r="2">
          <cell r="A2" t="str">
            <v>345 Pre-School Thetherdown</v>
          </cell>
        </row>
      </sheetData>
      <sheetData sheetId="29"/>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_ModelInformation&amp;TabIndex"/>
      <sheetName val="Details"/>
      <sheetName val="Output_NFFLALevelCombinedTable"/>
      <sheetName val="UserInput"/>
      <sheetName val="Output_Summary"/>
      <sheetName val="OutputLATable_TotalCentralBlock"/>
      <sheetName val="OutputLATable_Ongoing"/>
      <sheetName val="OutputLAChart_TotalCentralBlock"/>
      <sheetName val="OutputLAChart_Ongoing"/>
      <sheetName val="Calculations_NFF_Funding"/>
      <sheetName val="Calculations_CSSB_NFF_Rate"/>
      <sheetName val="Calculations_CSSB_Baseline"/>
      <sheetName val="CR_SplitBetweenOngoing&amp;Historic"/>
      <sheetName val="Calc_FSM"/>
      <sheetName val="Regions"/>
      <sheetName val="Pupil Numbers"/>
      <sheetName val="ACA"/>
      <sheetName val="Data_s251Budget_201617"/>
      <sheetName val="2016-17 ESG Allocations"/>
      <sheetName val="201617_BaselinesData"/>
      <sheetName val="Pupil_Numbers"/>
      <sheetName val="2016-17_ESG_Allocation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sheetData sheetId="2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ORGS1011 (2)"/>
      <sheetName val="sftrans1011Sep10"/>
      <sheetName val="Trans@1.10"/>
      <sheetName val="Monitor"/>
      <sheetName val="trans"/>
      <sheetName val="mfg (2)"/>
      <sheetName val="OneSchoolSF"/>
      <sheetName val="OneSchool"/>
      <sheetName val="transaction data 1011"/>
      <sheetName val="Trans@4.10"/>
      <sheetName val="sftrans1011"/>
      <sheetName val="abatement"/>
      <sheetName val="EMFG"/>
      <sheetName val="NMFG"/>
      <sheetName val="mfg"/>
      <sheetName val="Report"/>
      <sheetName val="OrigAbate"/>
      <sheetName val="sf trans 0910"/>
      <sheetName val="transaction data 0910"/>
      <sheetName val="News"/>
      <sheetName val="All Schools"/>
      <sheetName val="Pupils"/>
      <sheetName val="AEN Report"/>
      <sheetName val="Special"/>
      <sheetName val="Resource Provision"/>
      <sheetName val="MFGreport"/>
      <sheetName val="ProvAlloc1011"/>
      <sheetName val="EMAG"/>
      <sheetName val="REORGS1011"/>
      <sheetName val="rates"/>
      <sheetName val="data"/>
      <sheetName val="rpsen"/>
      <sheetName val="specialsen"/>
      <sheetName val="AEN"/>
      <sheetName val="Primary aen"/>
      <sheetName val="Census Jan 09"/>
      <sheetName val="Pupils 2010"/>
      <sheetName val="Pupil data"/>
      <sheetName val="SFOalloc0910"/>
      <sheetName val="REORGS1011_(2)"/>
      <sheetName val="Trans@1_10"/>
      <sheetName val="mfg_(2)"/>
      <sheetName val="transaction_data_1011"/>
      <sheetName val="Trans@4_10"/>
      <sheetName val="sf_trans_0910"/>
      <sheetName val="transaction_data_0910"/>
      <sheetName val="All_Schools"/>
      <sheetName val="AEN_Report"/>
      <sheetName val="Resource_Provision"/>
      <sheetName val="Primary_aen"/>
      <sheetName val="Census_Jan_09"/>
      <sheetName val="Pupils_2010"/>
      <sheetName val="Pupil_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xclus 2013-14"/>
      <sheetName val="Sheet1"/>
      <sheetName val="Total_Exclus_2013-14"/>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3-14 submitted Baselines"/>
      <sheetName val="Inputs &amp; Adjustments"/>
      <sheetName val="Local Factors"/>
      <sheetName val="Adjusted Factors"/>
      <sheetName val="13-14 final baselines"/>
      <sheetName val="Commentary"/>
      <sheetName val="Proforma"/>
      <sheetName val="De Delegation"/>
      <sheetName val="New ISB"/>
      <sheetName val="School level SB"/>
      <sheetName val="Recoupment"/>
      <sheetName val="Validation sheet"/>
      <sheetName val="15-16 submitted baselines"/>
      <sheetName val="15-16 submitted HN places"/>
      <sheetName val="15-16 final baselines"/>
      <sheetName val="NNDR @ 10.8.15"/>
      <sheetName val="SplitSite @ 10.8.15"/>
      <sheetName val="Front_Sheet"/>
      <sheetName val="Schools_Block_Data"/>
      <sheetName val="13-14_submitted_Baselines"/>
      <sheetName val="Inputs_&amp;_Adjustments"/>
      <sheetName val="Local_Factors"/>
      <sheetName val="Adjusted_Factors"/>
      <sheetName val="13-14_final_baselines"/>
      <sheetName val="De_Delegation"/>
      <sheetName val="New_ISB"/>
      <sheetName val="School_level_SB"/>
      <sheetName val="Validation_sheet"/>
      <sheetName val="15-16_submitted_baselines"/>
      <sheetName val="15-16_submitted_HN_places"/>
      <sheetName val="15-16_final_baselines"/>
      <sheetName val="NNDR_@_10_8_15"/>
      <sheetName val="SplitSite_@_10_8_15"/>
    </sheetNames>
    <sheetDataSet>
      <sheetData sheetId="0" refreshError="1"/>
      <sheetData sheetId="1" refreshError="1"/>
      <sheetData sheetId="2" refreshError="1"/>
      <sheetData sheetId="3" refreshError="1"/>
      <sheetData sheetId="4" refreshError="1"/>
      <sheetData sheetId="5" refreshError="1">
        <row r="5">
          <cell r="AA5">
            <v>0</v>
          </cell>
        </row>
      </sheetData>
      <sheetData sheetId="6">
        <row r="6">
          <cell r="D6">
            <v>3022002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ow r="6">
          <cell r="BN6" t="str">
            <v>School closed prior to 1 April 2014</v>
          </cell>
        </row>
      </sheetData>
      <sheetData sheetId="24">
        <row r="5">
          <cell r="AA5">
            <v>0</v>
          </cell>
        </row>
      </sheetData>
      <sheetData sheetId="25">
        <row r="6">
          <cell r="D6">
            <v>3022002</v>
          </cell>
        </row>
      </sheetData>
      <sheetData sheetId="26"/>
      <sheetData sheetId="27">
        <row r="8">
          <cell r="V8">
            <v>6.32</v>
          </cell>
        </row>
      </sheetData>
      <sheetData sheetId="28">
        <row r="5">
          <cell r="AC5">
            <v>13196333.333333332</v>
          </cell>
        </row>
      </sheetData>
      <sheetData sheetId="29"/>
      <sheetData sheetId="30"/>
      <sheetData sheetId="31"/>
      <sheetData sheetId="32"/>
      <sheetData sheetId="33"/>
      <sheetData sheetId="34"/>
      <sheetData sheetId="3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or"/>
      <sheetName val="Numbers"/>
      <sheetName val="Rates"/>
    </sheetNames>
    <sheetDataSet>
      <sheetData sheetId="0" refreshError="1"/>
      <sheetData sheetId="1"/>
      <sheetData sheetId="2" refreshError="1">
        <row r="4">
          <cell r="A4" t="str">
            <v>Nursery</v>
          </cell>
        </row>
        <row r="5">
          <cell r="A5" t="str">
            <v>Primary</v>
          </cell>
        </row>
        <row r="6">
          <cell r="A6" t="str">
            <v>Secondary</v>
          </cell>
        </row>
        <row r="7">
          <cell r="A7" t="str">
            <v>Special</v>
          </cell>
        </row>
        <row r="8">
          <cell r="A8" t="str">
            <v>PRU</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6Students"/>
      <sheetName val="Oct14Census"/>
      <sheetName val="EOY1314"/>
      <sheetName val="NewISB"/>
      <sheetName val="NotSEN"/>
      <sheetName val="Statementsrevised"/>
      <sheetName val="HNList"/>
      <sheetName val="Statements"/>
      <sheetName val="HNtop-ups"/>
      <sheetName val="HNTopUps"/>
      <sheetName val="HNPlaces"/>
      <sheetName val="UIFSM"/>
      <sheetName val="NEWS"/>
      <sheetName val="Home"/>
      <sheetName val="SchoolReport"/>
      <sheetName val="Post16"/>
      <sheetName val="Post16 Original"/>
      <sheetName val="EarlyYears"/>
      <sheetName val="MFG"/>
      <sheetName val="Pupils"/>
      <sheetName val="StmtTopUps"/>
      <sheetName val="OtherTopups"/>
      <sheetName val="StmtTopUpsOrig"/>
      <sheetName val="HighNeeds"/>
      <sheetName val="HighNeeds Orig"/>
      <sheetName val="Infant FSM"/>
      <sheetName val="NotionalSEN"/>
      <sheetName val="Payments"/>
      <sheetName val="EarlyYearstrans"/>
      <sheetName val="EYFlexDep"/>
      <sheetName val="Early Years Data"/>
      <sheetName val="AllSchools"/>
      <sheetName val="BarnetReport"/>
      <sheetName val="Opt B C D Apr-Jul 2014-15"/>
      <sheetName val="NNDR 13-14"/>
      <sheetName val="Medical"/>
      <sheetName val="Osidge"/>
      <sheetName val="DFC @ 12.06.14"/>
      <sheetName val="NNDR @ 12.06.14"/>
      <sheetName val="Post-16 Allocation 2014-15"/>
      <sheetName val="Barnet PPLAC"/>
      <sheetName val="AllHNTopups"/>
      <sheetName val="HNLines"/>
      <sheetName val="ADDPayments"/>
      <sheetName val="STMT13-14"/>
      <sheetName val="TRANS"/>
      <sheetName val="Rates"/>
      <sheetName val="Schools"/>
      <sheetName val="Autopayments"/>
      <sheetName val="Data"/>
      <sheetName val="CostCentres"/>
      <sheetName val="Colour Key, Tab Status &amp; Errors"/>
      <sheetName val="TRANSPivotadhoc"/>
      <sheetName val="Month4"/>
      <sheetName val="Month3"/>
      <sheetName val="SchAccJune"/>
      <sheetName val="Procedure"/>
      <sheetName val="Original BarnetReport "/>
      <sheetName val="Expansions"/>
      <sheetName val="EY SUMAADJ"/>
      <sheetName val="OtherTopups Original"/>
      <sheetName val="Sheet7"/>
      <sheetName val="SchAccJul"/>
      <sheetName val="OptBCDbyCC"/>
      <sheetName val="OptionsBCD"/>
      <sheetName val="ChangeLog"/>
      <sheetName val="Journals"/>
      <sheetName val="MHCHS"/>
      <sheetName val="Post16_Original"/>
      <sheetName val="HighNeeds_Orig"/>
      <sheetName val="Infant_FSM"/>
      <sheetName val="Early_Years_Data"/>
      <sheetName val="Opt_B_C_D_Apr-Jul_2014-15"/>
      <sheetName val="NNDR_13-14"/>
      <sheetName val="DFC_@_12_06_14"/>
      <sheetName val="NNDR_@_12_06_14"/>
      <sheetName val="Post-16_Allocation_2014-15"/>
      <sheetName val="Barnet_PPLAC"/>
      <sheetName val="Colour_Key,_Tab_Status_&amp;_Errors"/>
      <sheetName val="Original_BarnetReport_"/>
      <sheetName val="EY_SUMAADJ"/>
      <sheetName val="OtherTopups_Origi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D9" t="str">
            <v>BARNET SCHOOL FUNDING - APR 2014 - MAR 2015 - Revised September 2014</v>
          </cell>
        </row>
        <row r="15">
          <cell r="F15" t="str">
            <v>Edgware Primary</v>
          </cell>
        </row>
      </sheetData>
      <sheetData sheetId="14"/>
      <sheetData sheetId="15"/>
      <sheetData sheetId="16"/>
      <sheetData sheetId="17"/>
      <sheetData sheetId="18"/>
      <sheetData sheetId="19"/>
      <sheetData sheetId="20"/>
      <sheetData sheetId="21"/>
      <sheetData sheetId="22"/>
      <sheetData sheetId="23"/>
      <sheetData sheetId="24">
        <row r="15">
          <cell r="A15">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ToDo"/>
      <sheetName val="Cover"/>
      <sheetName val="Control sheet"/>
      <sheetName val="DataSources"/>
      <sheetName val="Stored scenarios"/>
      <sheetName val="LAdata"/>
      <sheetName val="LA OUTPUT"/>
      <sheetName val="SchoolData"/>
      <sheetName val="SCHOOL OUTPUT"/>
      <sheetName val="SchoolChartData"/>
      <sheetName val="NamedRanges"/>
      <sheetName val="SchoolData_1314"/>
      <sheetName val="ACA"/>
      <sheetName val="Exceptional Schools"/>
      <sheetName val="Quantum"/>
      <sheetName val="Lists"/>
      <sheetName val="Control_sheet"/>
      <sheetName val="Stored_scenarios"/>
      <sheetName val="LA_OUTPUT"/>
      <sheetName val="SCHOOL_OUTPUT"/>
      <sheetName val="Exceptional_Schools"/>
    </sheetNames>
    <sheetDataSet>
      <sheetData sheetId="0"/>
      <sheetData sheetId="1"/>
      <sheetData sheetId="2"/>
      <sheetData sheetId="3"/>
      <sheetData sheetId="4"/>
      <sheetData sheetId="5"/>
      <sheetData sheetId="6"/>
      <sheetData sheetId="7"/>
      <sheetData sheetId="8"/>
      <sheetData sheetId="9">
        <row r="4">
          <cell r="AH4" t="str">
            <v>Baseline PP</v>
          </cell>
          <cell r="AK4" t="str">
            <v>NFF less CR and Growth</v>
          </cell>
          <cell r="AO4" t="str">
            <v>No</v>
          </cell>
        </row>
      </sheetData>
      <sheetData sheetId="10"/>
      <sheetData sheetId="11"/>
      <sheetData sheetId="12"/>
      <sheetData sheetId="13"/>
      <sheetData sheetId="14"/>
      <sheetData sheetId="15"/>
      <sheetData sheetId="16"/>
      <sheetData sheetId="17"/>
      <sheetData sheetId="18"/>
      <sheetData sheetId="19"/>
      <sheetData sheetId="20">
        <row r="4">
          <cell r="AH4" t="str">
            <v>Baseline PP</v>
          </cell>
        </row>
      </sheetData>
      <sheetData sheetId="2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Pivot Totals"/>
      <sheetName val="Pivot_Line No Adjusted"/>
      <sheetName val="Worksheet for Line No"/>
      <sheetName val="Pivot on GL"/>
      <sheetName val="Adjusted Pivot for Tables"/>
      <sheetName val="Pivot PC"/>
      <sheetName val="SAP Download"/>
      <sheetName val="Working"/>
      <sheetName val="Split Funded CC's"/>
      <sheetName val="PRU's SSG &amp; SDG"/>
      <sheetName val="Youth summary&amp; Vol Sector grant"/>
      <sheetName val="Transport analysis"/>
      <sheetName val="Non Children's Services costs"/>
      <sheetName val="SAP @ 24.02.2010"/>
      <sheetName val="Adjusted_Pivot_Totals"/>
      <sheetName val="Pivot_Line_No_Adjusted"/>
      <sheetName val="Worksheet_for_Line_No"/>
      <sheetName val="Pivot_on_GL"/>
      <sheetName val="Adjusted_Pivot_for_Tables"/>
      <sheetName val="Pivot_PC"/>
      <sheetName val="SAP_Download"/>
      <sheetName val="Split_Funded_CC's"/>
      <sheetName val="PRU's_SSG_&amp;_SDG"/>
      <sheetName val="Youth_summary&amp;_Vol_Sector_grant"/>
      <sheetName val="Transport_analysis"/>
      <sheetName val="Non_Children's_Services_costs"/>
      <sheetName val="SAP_@_24_02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e LEAs"/>
      <sheetName val="Running info"/>
      <sheetName val="SchLEASplits"/>
      <sheetName val="S52 Imports"/>
      <sheetName val="OtherLookups"/>
      <sheetName val="Lookups"/>
      <sheetName val="Annex_A_TABLE"/>
      <sheetName val="Proposed 2003-04 Budget"/>
      <sheetName val="2002-03 S52 Table 1"/>
      <sheetName val="Save_LEAs"/>
      <sheetName val="Running_info"/>
      <sheetName val="S52_Imports"/>
      <sheetName val="Proposed_2003-04_Budget"/>
      <sheetName val="2002-03_S52_Table_1"/>
    </sheetNames>
    <sheetDataSet>
      <sheetData sheetId="0" refreshError="1"/>
      <sheetData sheetId="1" refreshError="1"/>
      <sheetData sheetId="2" refreshError="1"/>
      <sheetData sheetId="3" refreshError="1"/>
      <sheetData sheetId="4" refreshError="1"/>
      <sheetData sheetId="5" refreshError="1">
        <row r="3">
          <cell r="B3" t="str">
            <v>LEA Num</v>
          </cell>
        </row>
      </sheetData>
      <sheetData sheetId="6" refreshError="1"/>
      <sheetData sheetId="7" refreshError="1"/>
      <sheetData sheetId="8" refreshError="1"/>
      <sheetData sheetId="9"/>
      <sheetData sheetId="10"/>
      <sheetData sheetId="11"/>
      <sheetData sheetId="12"/>
      <sheetData sheetId="1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C filter"/>
      <sheetName val="DFC"/>
      <sheetName val="Academy"/>
      <sheetName val="CTC &amp; NMSS"/>
      <sheetName val="LA Level"/>
      <sheetName val="Macro info"/>
      <sheetName val="Check against announcement"/>
      <sheetName val="DFC (ALL)"/>
      <sheetName val="DFC_filter"/>
      <sheetName val="CTC_&amp;_NMSS"/>
      <sheetName val="LA_Level"/>
      <sheetName val="Macro_info"/>
      <sheetName val="Check_against_announcement"/>
      <sheetName val="DFC_(ALL)"/>
    </sheetNames>
    <sheetDataSet>
      <sheetData sheetId="0" refreshError="1">
        <row r="11">
          <cell r="D11">
            <v>2098304.9500000002</v>
          </cell>
        </row>
      </sheetData>
      <sheetData sheetId="1"/>
      <sheetData sheetId="2"/>
      <sheetData sheetId="3"/>
      <sheetData sheetId="4"/>
      <sheetData sheetId="5"/>
      <sheetData sheetId="6"/>
      <sheetData sheetId="7"/>
      <sheetData sheetId="8">
        <row r="11">
          <cell r="D11">
            <v>2098304.9500000002</v>
          </cell>
        </row>
      </sheetData>
      <sheetData sheetId="9"/>
      <sheetData sheetId="10"/>
      <sheetData sheetId="11"/>
      <sheetData sheetId="12"/>
      <sheetData sheetId="1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B"/>
      <sheetName val="Sheet1"/>
      <sheetName val="Monitor"/>
      <sheetName val="Compare"/>
      <sheetName val="SEN"/>
      <sheetName val="data"/>
      <sheetName val="rates"/>
      <sheetName val="lookup"/>
      <sheetName val="abatement"/>
      <sheetName val="mfg"/>
      <sheetName val="CTax"/>
      <sheetName val="NNDR"/>
      <sheetName val="Insurance"/>
      <sheetName val="IntAreas"/>
      <sheetName val="trans"/>
      <sheetName val="YPLA"/>
      <sheetName val="NQTs"/>
      <sheetName val="SFFunding"/>
      <sheetName val="SF1011"/>
      <sheetName val="trans1011"/>
      <sheetName val="aen"/>
      <sheetName val="Primary school aen alloc"/>
      <sheetName val="rpsen"/>
      <sheetName val="specialsen"/>
      <sheetName val="Statements"/>
      <sheetName val="transactions 2009"/>
      <sheetName val="Distribution"/>
      <sheetName val="macro"/>
      <sheetName val="Primary_school_aen_alloc"/>
      <sheetName val="transactions_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5639">
          <cell r="C5639" t="str">
            <v>Ashmole Academy - not used</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xclus 2010-11"/>
      <sheetName val="end of year"/>
      <sheetName val="OLA"/>
      <sheetName val="Rec"/>
      <sheetName val="Rates"/>
      <sheetName val="weeks"/>
      <sheetName val="Codes"/>
      <sheetName val="Rec new"/>
      <sheetName val="Rec old"/>
      <sheetName val="OLA-inv raised"/>
      <sheetName val="OLA-paid"/>
      <sheetName val="Total_Exclus_2010-11"/>
      <sheetName val="end_of_year"/>
      <sheetName val="Rec_new"/>
      <sheetName val="Rec_old"/>
      <sheetName val="OLA-inv_raised"/>
    </sheetNames>
    <sheetDataSet>
      <sheetData sheetId="0" refreshError="1"/>
      <sheetData sheetId="1" refreshError="1"/>
      <sheetData sheetId="2" refreshError="1"/>
      <sheetData sheetId="3" refreshError="1"/>
      <sheetData sheetId="4" refreshError="1"/>
      <sheetData sheetId="5" refreshError="1">
        <row r="4">
          <cell r="F4" t="str">
            <v>WEEK ENDING</v>
          </cell>
          <cell r="G4" t="str">
            <v>WEEK NO</v>
          </cell>
        </row>
        <row r="5">
          <cell r="F5" t="str">
            <v>(Saturday)</v>
          </cell>
        </row>
        <row r="7">
          <cell r="F7">
            <v>39900</v>
          </cell>
          <cell r="G7">
            <v>53</v>
          </cell>
        </row>
        <row r="8">
          <cell r="F8">
            <v>39907</v>
          </cell>
          <cell r="G8">
            <v>52</v>
          </cell>
        </row>
        <row r="9">
          <cell r="F9">
            <v>39914</v>
          </cell>
          <cell r="G9">
            <v>51</v>
          </cell>
        </row>
        <row r="10">
          <cell r="F10">
            <v>39921</v>
          </cell>
          <cell r="G10">
            <v>50</v>
          </cell>
        </row>
        <row r="11">
          <cell r="F11">
            <v>39928</v>
          </cell>
          <cell r="G11">
            <v>49</v>
          </cell>
        </row>
        <row r="12">
          <cell r="F12">
            <v>39935</v>
          </cell>
          <cell r="G12">
            <v>48</v>
          </cell>
        </row>
        <row r="13">
          <cell r="F13">
            <v>39942</v>
          </cell>
          <cell r="G13">
            <v>47</v>
          </cell>
        </row>
        <row r="14">
          <cell r="F14">
            <v>39949</v>
          </cell>
          <cell r="G14">
            <v>46</v>
          </cell>
        </row>
        <row r="15">
          <cell r="F15">
            <v>39956</v>
          </cell>
          <cell r="G15">
            <v>45</v>
          </cell>
        </row>
        <row r="16">
          <cell r="F16">
            <v>39963</v>
          </cell>
          <cell r="G16">
            <v>44</v>
          </cell>
        </row>
        <row r="17">
          <cell r="F17">
            <v>39970</v>
          </cell>
          <cell r="G17">
            <v>43</v>
          </cell>
        </row>
        <row r="18">
          <cell r="F18">
            <v>39977</v>
          </cell>
          <cell r="G18">
            <v>42</v>
          </cell>
        </row>
        <row r="19">
          <cell r="F19">
            <v>39984</v>
          </cell>
          <cell r="G19">
            <v>41</v>
          </cell>
        </row>
        <row r="20">
          <cell r="F20">
            <v>39991</v>
          </cell>
          <cell r="G20">
            <v>40</v>
          </cell>
        </row>
        <row r="21">
          <cell r="F21">
            <v>39998</v>
          </cell>
          <cell r="G21">
            <v>39</v>
          </cell>
        </row>
        <row r="22">
          <cell r="F22">
            <v>40005</v>
          </cell>
          <cell r="G22">
            <v>38</v>
          </cell>
        </row>
        <row r="23">
          <cell r="F23">
            <v>40012</v>
          </cell>
          <cell r="G23">
            <v>37</v>
          </cell>
        </row>
        <row r="24">
          <cell r="F24">
            <v>40019</v>
          </cell>
          <cell r="G24">
            <v>36</v>
          </cell>
        </row>
        <row r="25">
          <cell r="F25">
            <v>40026</v>
          </cell>
          <cell r="G25">
            <v>35</v>
          </cell>
        </row>
        <row r="26">
          <cell r="F26">
            <v>40033</v>
          </cell>
          <cell r="G26">
            <v>34</v>
          </cell>
        </row>
        <row r="27">
          <cell r="F27">
            <v>40040</v>
          </cell>
          <cell r="G27">
            <v>33</v>
          </cell>
        </row>
        <row r="28">
          <cell r="F28">
            <v>40047</v>
          </cell>
          <cell r="G28">
            <v>32</v>
          </cell>
        </row>
        <row r="29">
          <cell r="F29">
            <v>40054</v>
          </cell>
          <cell r="G29">
            <v>31</v>
          </cell>
        </row>
        <row r="30">
          <cell r="F30">
            <v>40061</v>
          </cell>
          <cell r="G30">
            <v>30</v>
          </cell>
        </row>
        <row r="31">
          <cell r="F31">
            <v>40068</v>
          </cell>
          <cell r="G31">
            <v>29</v>
          </cell>
        </row>
        <row r="32">
          <cell r="F32">
            <v>40075</v>
          </cell>
          <cell r="G32">
            <v>28</v>
          </cell>
        </row>
        <row r="33">
          <cell r="F33">
            <v>40082</v>
          </cell>
          <cell r="G33">
            <v>27</v>
          </cell>
        </row>
        <row r="34">
          <cell r="F34">
            <v>40089</v>
          </cell>
          <cell r="G34">
            <v>26</v>
          </cell>
        </row>
        <row r="35">
          <cell r="F35">
            <v>40096</v>
          </cell>
          <cell r="G35">
            <v>25</v>
          </cell>
        </row>
        <row r="36">
          <cell r="F36">
            <v>40103</v>
          </cell>
          <cell r="G36">
            <v>24</v>
          </cell>
        </row>
        <row r="37">
          <cell r="F37">
            <v>40110</v>
          </cell>
          <cell r="G37">
            <v>23</v>
          </cell>
        </row>
        <row r="38">
          <cell r="F38">
            <v>40117</v>
          </cell>
          <cell r="G38">
            <v>22</v>
          </cell>
        </row>
        <row r="39">
          <cell r="F39">
            <v>40124</v>
          </cell>
          <cell r="G39">
            <v>21</v>
          </cell>
        </row>
        <row r="40">
          <cell r="F40">
            <v>40131</v>
          </cell>
          <cell r="G40">
            <v>20</v>
          </cell>
        </row>
        <row r="41">
          <cell r="F41">
            <v>40138</v>
          </cell>
          <cell r="G41">
            <v>19</v>
          </cell>
        </row>
        <row r="42">
          <cell r="F42">
            <v>40145</v>
          </cell>
          <cell r="G42">
            <v>18</v>
          </cell>
        </row>
        <row r="43">
          <cell r="F43">
            <v>40152</v>
          </cell>
          <cell r="G43">
            <v>17</v>
          </cell>
        </row>
        <row r="44">
          <cell r="F44">
            <v>40159</v>
          </cell>
          <cell r="G44">
            <v>16</v>
          </cell>
        </row>
        <row r="45">
          <cell r="F45">
            <v>40166</v>
          </cell>
          <cell r="G45">
            <v>15</v>
          </cell>
        </row>
        <row r="46">
          <cell r="F46">
            <v>40173</v>
          </cell>
          <cell r="G46">
            <v>14</v>
          </cell>
        </row>
        <row r="47">
          <cell r="F47">
            <v>40180</v>
          </cell>
          <cell r="G47">
            <v>13</v>
          </cell>
        </row>
        <row r="48">
          <cell r="F48">
            <v>40187</v>
          </cell>
          <cell r="G48">
            <v>12</v>
          </cell>
        </row>
        <row r="49">
          <cell r="F49">
            <v>40194</v>
          </cell>
          <cell r="G49">
            <v>11</v>
          </cell>
        </row>
        <row r="50">
          <cell r="F50">
            <v>40201</v>
          </cell>
          <cell r="G50">
            <v>10</v>
          </cell>
        </row>
        <row r="51">
          <cell r="F51">
            <v>40208</v>
          </cell>
          <cell r="G51">
            <v>9</v>
          </cell>
        </row>
        <row r="52">
          <cell r="F52">
            <v>40215</v>
          </cell>
          <cell r="G52">
            <v>8</v>
          </cell>
        </row>
        <row r="53">
          <cell r="F53">
            <v>40222</v>
          </cell>
          <cell r="G53">
            <v>7</v>
          </cell>
        </row>
        <row r="54">
          <cell r="F54">
            <v>40229</v>
          </cell>
          <cell r="G54">
            <v>6</v>
          </cell>
        </row>
        <row r="55">
          <cell r="F55">
            <v>40236</v>
          </cell>
          <cell r="G55">
            <v>5</v>
          </cell>
        </row>
        <row r="56">
          <cell r="F56">
            <v>40243</v>
          </cell>
          <cell r="G56">
            <v>4</v>
          </cell>
        </row>
        <row r="57">
          <cell r="F57">
            <v>40250</v>
          </cell>
          <cell r="G57">
            <v>3</v>
          </cell>
        </row>
        <row r="58">
          <cell r="F58">
            <v>40257</v>
          </cell>
          <cell r="G58">
            <v>2</v>
          </cell>
        </row>
        <row r="59">
          <cell r="F59">
            <v>40264</v>
          </cell>
          <cell r="G59">
            <v>1</v>
          </cell>
        </row>
        <row r="60">
          <cell r="F60">
            <v>40271</v>
          </cell>
          <cell r="G60">
            <v>0</v>
          </cell>
        </row>
      </sheetData>
      <sheetData sheetId="6" refreshError="1"/>
      <sheetData sheetId="7"/>
      <sheetData sheetId="8"/>
      <sheetData sheetId="9"/>
      <sheetData sheetId="10"/>
      <sheetData sheetId="11"/>
      <sheetData sheetId="12"/>
      <sheetData sheetId="13"/>
      <sheetData sheetId="14"/>
      <sheetData sheetId="15"/>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R20192020_BenchMarkDataReport"/>
    </sheetNames>
    <sheetDataSet>
      <sheetData sheetId="0">
        <row r="93">
          <cell r="BZ93">
            <v>2146564</v>
          </cell>
          <cell r="CA93">
            <v>6887795.9399999995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5-16 submitted baselines"/>
      <sheetName val="15-16 submitted HN places"/>
      <sheetName val="Inputs &amp; Adjustments"/>
      <sheetName val="Local Factors"/>
      <sheetName val="Adjusted Factors"/>
      <sheetName val="15-16 final baselines"/>
      <sheetName val="Commentary"/>
      <sheetName val="Proforma"/>
      <sheetName val="De Delegation"/>
      <sheetName val="New ISB"/>
      <sheetName val="School level SB"/>
      <sheetName val="Recoupment"/>
      <sheetName val="Validation sheet"/>
      <sheetName val="Front_Sheet"/>
      <sheetName val="Schools_Block_Data"/>
      <sheetName val="15-16_submitted_baselines"/>
      <sheetName val="15-16_submitted_HN_places"/>
      <sheetName val="Inputs_&amp;_Adjustments"/>
      <sheetName val="Local_Factors"/>
      <sheetName val="Adjusted_Factors"/>
      <sheetName val="15-16_final_baselines"/>
      <sheetName val="De_Delegation"/>
      <sheetName val="New_ISB"/>
      <sheetName val="School_level_SB"/>
      <sheetName val="Validation_sheet"/>
    </sheetNames>
    <sheetDataSet>
      <sheetData sheetId="0"/>
      <sheetData sheetId="1"/>
      <sheetData sheetId="2">
        <row r="1">
          <cell r="A1" t="str">
            <v>October 2015 School Census data</v>
          </cell>
        </row>
      </sheetData>
      <sheetData sheetId="3"/>
      <sheetData sheetId="4"/>
      <sheetData sheetId="5">
        <row r="40">
          <cell r="Z40">
            <v>0</v>
          </cell>
        </row>
      </sheetData>
      <sheetData sheetId="6">
        <row r="5">
          <cell r="S5">
            <v>98</v>
          </cell>
          <cell r="AB5">
            <v>0</v>
          </cell>
        </row>
      </sheetData>
      <sheetData sheetId="7">
        <row r="5">
          <cell r="C5" t="str">
            <v>Total</v>
          </cell>
        </row>
      </sheetData>
      <sheetData sheetId="8"/>
      <sheetData sheetId="9"/>
      <sheetData sheetId="10"/>
      <sheetData sheetId="11"/>
      <sheetData sheetId="12">
        <row r="5">
          <cell r="B5" t="str">
            <v>Total</v>
          </cell>
        </row>
      </sheetData>
      <sheetData sheetId="13"/>
      <sheetData sheetId="14"/>
      <sheetData sheetId="15"/>
      <sheetData sheetId="16"/>
      <sheetData sheetId="17">
        <row r="1">
          <cell r="A1" t="str">
            <v>October 2015 School Census data</v>
          </cell>
        </row>
      </sheetData>
      <sheetData sheetId="18"/>
      <sheetData sheetId="19"/>
      <sheetData sheetId="20">
        <row r="40">
          <cell r="Z40">
            <v>0</v>
          </cell>
        </row>
      </sheetData>
      <sheetData sheetId="21">
        <row r="5">
          <cell r="S5">
            <v>98</v>
          </cell>
        </row>
      </sheetData>
      <sheetData sheetId="22">
        <row r="5">
          <cell r="C5" t="str">
            <v>Total</v>
          </cell>
        </row>
      </sheetData>
      <sheetData sheetId="23"/>
      <sheetData sheetId="24"/>
      <sheetData sheetId="25">
        <row r="5">
          <cell r="B5" t="str">
            <v>Total</v>
          </cell>
        </row>
      </sheetData>
      <sheetData sheetId="26"/>
      <sheetData sheetId="2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9-20 submitted baselines"/>
      <sheetName val="Proposed Free Schools"/>
      <sheetName val="19-20 HN places"/>
      <sheetName val="Inputs &amp; Adjustments"/>
      <sheetName val="Local Factors"/>
      <sheetName val="Adjusted Factors"/>
      <sheetName val="19-20 final baselines"/>
      <sheetName val="Commentary"/>
      <sheetName val="ProformaAggregation"/>
      <sheetName val="Proforma"/>
      <sheetName val="Block transfers"/>
      <sheetName val="De Delegation"/>
      <sheetName val="Education Functions"/>
      <sheetName val="New ISB"/>
      <sheetName val="School level SB"/>
      <sheetName val="Recoupment"/>
      <sheetName val="Validation sheet"/>
    </sheetNames>
    <sheetDataSet>
      <sheetData sheetId="0"/>
      <sheetData sheetId="1">
        <row r="7">
          <cell r="T7" t="str">
            <v>20-21</v>
          </cell>
        </row>
      </sheetData>
      <sheetData sheetId="2"/>
      <sheetData sheetId="3"/>
      <sheetData sheetId="4"/>
      <sheetData sheetId="5"/>
      <sheetData sheetId="6">
        <row r="6">
          <cell r="DC6" t="str">
            <v>School closed prior to 1 April 2020</v>
          </cell>
        </row>
        <row r="7">
          <cell r="DC7" t="str">
            <v>New School opening prior to 1 April 2020</v>
          </cell>
        </row>
        <row r="8">
          <cell r="DC8" t="str">
            <v>New School opening after 1 April 2020</v>
          </cell>
        </row>
        <row r="9">
          <cell r="DC9" t="str">
            <v>Amalgamation of schools by 1 April 2020</v>
          </cell>
        </row>
        <row r="10">
          <cell r="DC10" t="str">
            <v>Change in pupil numbers/factors</v>
          </cell>
        </row>
        <row r="11">
          <cell r="DC11" t="str">
            <v>Conversion to academy status prior to 6 January 2020</v>
          </cell>
        </row>
        <row r="12">
          <cell r="DC12" t="str">
            <v>New Academy/Free School</v>
          </cell>
        </row>
        <row r="13">
          <cell r="DC13" t="str">
            <v>Other</v>
          </cell>
        </row>
      </sheetData>
      <sheetData sheetId="7">
        <row r="2">
          <cell r="AB2" t="str">
            <v>Please enter a description for the exceptional factors you choose to apply, which will appear in the Proforma sheet</v>
          </cell>
        </row>
        <row r="5">
          <cell r="AA5">
            <v>0</v>
          </cell>
        </row>
      </sheetData>
      <sheetData sheetId="8">
        <row r="4">
          <cell r="D4" t="str">
            <v>LAESTAB</v>
          </cell>
        </row>
      </sheetData>
      <sheetData sheetId="9">
        <row r="4">
          <cell r="H4" t="str">
            <v>LAESTAB</v>
          </cell>
        </row>
      </sheetData>
      <sheetData sheetId="10"/>
      <sheetData sheetId="11"/>
      <sheetData sheetId="12">
        <row r="9">
          <cell r="D9">
            <v>3750</v>
          </cell>
          <cell r="E9">
            <v>4800</v>
          </cell>
          <cell r="G9">
            <v>5300</v>
          </cell>
          <cell r="I9">
            <v>5000</v>
          </cell>
        </row>
        <row r="12">
          <cell r="E12" t="str">
            <v>No</v>
          </cell>
        </row>
        <row r="14">
          <cell r="E14">
            <v>3139.9001400000002</v>
          </cell>
          <cell r="L14">
            <v>4.4999999999999998E-2</v>
          </cell>
        </row>
        <row r="15">
          <cell r="E15">
            <v>4415.8623600000001</v>
          </cell>
          <cell r="L15">
            <v>4.4999999999999998E-2</v>
          </cell>
        </row>
        <row r="16">
          <cell r="E16">
            <v>5012.6302200000009</v>
          </cell>
          <cell r="L16">
            <v>4.4999999999999998E-2</v>
          </cell>
        </row>
        <row r="18">
          <cell r="E18">
            <v>494.56</v>
          </cell>
          <cell r="F18">
            <v>494.56</v>
          </cell>
          <cell r="L18">
            <v>0.2</v>
          </cell>
          <cell r="M18">
            <v>0.2</v>
          </cell>
        </row>
        <row r="19">
          <cell r="E19">
            <v>615.45000000000005</v>
          </cell>
          <cell r="F19">
            <v>895.7</v>
          </cell>
          <cell r="L19">
            <v>0.2</v>
          </cell>
          <cell r="M19">
            <v>0.2</v>
          </cell>
        </row>
        <row r="20">
          <cell r="E20">
            <v>230.79</v>
          </cell>
          <cell r="F20">
            <v>329.71</v>
          </cell>
          <cell r="L20">
            <v>0.2</v>
          </cell>
          <cell r="M20">
            <v>0.2</v>
          </cell>
        </row>
        <row r="21">
          <cell r="E21">
            <v>274.76</v>
          </cell>
          <cell r="F21">
            <v>445.1</v>
          </cell>
          <cell r="L21">
            <v>0.2</v>
          </cell>
          <cell r="M21">
            <v>0.2</v>
          </cell>
        </row>
        <row r="22">
          <cell r="E22">
            <v>412.13</v>
          </cell>
          <cell r="F22">
            <v>587.98</v>
          </cell>
          <cell r="L22">
            <v>0.2</v>
          </cell>
          <cell r="M22">
            <v>0.2</v>
          </cell>
        </row>
        <row r="23">
          <cell r="E23">
            <v>445.1</v>
          </cell>
          <cell r="F23">
            <v>637.42999999999995</v>
          </cell>
          <cell r="L23">
            <v>0.2</v>
          </cell>
          <cell r="M23">
            <v>0.2</v>
          </cell>
        </row>
        <row r="24">
          <cell r="E24">
            <v>478.07</v>
          </cell>
          <cell r="F24">
            <v>686.89</v>
          </cell>
          <cell r="L24">
            <v>0.2</v>
          </cell>
          <cell r="M24">
            <v>0.2</v>
          </cell>
        </row>
        <row r="25">
          <cell r="E25">
            <v>659.41</v>
          </cell>
          <cell r="F25">
            <v>923.18</v>
          </cell>
          <cell r="L25">
            <v>0.2</v>
          </cell>
          <cell r="M25">
            <v>0.2</v>
          </cell>
        </row>
        <row r="27">
          <cell r="E27">
            <v>0</v>
          </cell>
          <cell r="L27">
            <v>0</v>
          </cell>
        </row>
        <row r="28">
          <cell r="D28" t="str">
            <v>EAL 2 Primary</v>
          </cell>
          <cell r="E28">
            <v>587.98</v>
          </cell>
          <cell r="L28">
            <v>1</v>
          </cell>
        </row>
        <row r="29">
          <cell r="D29" t="str">
            <v>EAL 2 Secondary</v>
          </cell>
          <cell r="F29">
            <v>1582.59</v>
          </cell>
          <cell r="M29">
            <v>1</v>
          </cell>
        </row>
        <row r="30">
          <cell r="E30">
            <v>961.64</v>
          </cell>
          <cell r="F30">
            <v>1373.78</v>
          </cell>
          <cell r="L30">
            <v>1</v>
          </cell>
          <cell r="M30">
            <v>1</v>
          </cell>
        </row>
        <row r="32">
          <cell r="F32">
            <v>1170.46</v>
          </cell>
          <cell r="L32">
            <v>0.2</v>
          </cell>
        </row>
        <row r="33">
          <cell r="F33">
            <v>1769.42</v>
          </cell>
          <cell r="M33">
            <v>0.2</v>
          </cell>
        </row>
        <row r="43">
          <cell r="F43">
            <v>125727.89</v>
          </cell>
          <cell r="G43">
            <v>125727.89</v>
          </cell>
          <cell r="L43">
            <v>0</v>
          </cell>
          <cell r="M43">
            <v>0</v>
          </cell>
        </row>
        <row r="44">
          <cell r="F44"/>
          <cell r="G44"/>
          <cell r="H44"/>
          <cell r="I44"/>
          <cell r="L44">
            <v>0</v>
          </cell>
          <cell r="M44">
            <v>0</v>
          </cell>
        </row>
        <row r="46">
          <cell r="D46"/>
          <cell r="G46"/>
          <cell r="K46" t="str">
            <v>Fixed</v>
          </cell>
        </row>
        <row r="47">
          <cell r="D47"/>
          <cell r="G47"/>
          <cell r="K47" t="str">
            <v>Fixed</v>
          </cell>
        </row>
        <row r="48">
          <cell r="D48"/>
          <cell r="G48"/>
          <cell r="K48" t="str">
            <v>Fixed</v>
          </cell>
        </row>
        <row r="49">
          <cell r="D49"/>
          <cell r="G49"/>
          <cell r="K49" t="str">
            <v>Fixed</v>
          </cell>
        </row>
        <row r="51">
          <cell r="L51">
            <v>0</v>
          </cell>
        </row>
        <row r="52">
          <cell r="L52">
            <v>0</v>
          </cell>
        </row>
        <row r="53">
          <cell r="L53">
            <v>0</v>
          </cell>
        </row>
        <row r="57">
          <cell r="L57"/>
        </row>
        <row r="58">
          <cell r="L58"/>
        </row>
        <row r="59">
          <cell r="L59"/>
        </row>
        <row r="60">
          <cell r="L60"/>
        </row>
        <row r="61">
          <cell r="L61"/>
        </row>
        <row r="62">
          <cell r="L62"/>
        </row>
        <row r="66">
          <cell r="L66"/>
        </row>
        <row r="69">
          <cell r="H69">
            <v>1.84E-2</v>
          </cell>
        </row>
        <row r="71">
          <cell r="J71" t="str">
            <v>No</v>
          </cell>
        </row>
        <row r="72">
          <cell r="D72"/>
          <cell r="G72"/>
        </row>
        <row r="76">
          <cell r="L76"/>
        </row>
      </sheetData>
      <sheetData sheetId="13"/>
      <sheetData sheetId="14">
        <row r="1">
          <cell r="B1" t="str">
            <v>Please enter primary and secondary unit rates against appropriate indicators. For the sparsity factor only please enter percentages.  Academies cannot de-delegate.</v>
          </cell>
        </row>
        <row r="8">
          <cell r="X8">
            <v>17.224988382643687</v>
          </cell>
        </row>
        <row r="9">
          <cell r="Y9">
            <v>13.824257762587878</v>
          </cell>
        </row>
        <row r="10">
          <cell r="X10">
            <v>0</v>
          </cell>
          <cell r="Y10">
            <v>0</v>
          </cell>
        </row>
        <row r="11">
          <cell r="X11">
            <v>11.351369203409593</v>
          </cell>
          <cell r="Y11">
            <v>10.694863030102709</v>
          </cell>
        </row>
        <row r="12">
          <cell r="X12">
            <v>0</v>
          </cell>
          <cell r="Y12">
            <v>0</v>
          </cell>
        </row>
        <row r="13">
          <cell r="X13">
            <v>0</v>
          </cell>
          <cell r="Y13">
            <v>0</v>
          </cell>
        </row>
        <row r="14">
          <cell r="X14">
            <v>0</v>
          </cell>
          <cell r="Y14">
            <v>0</v>
          </cell>
        </row>
        <row r="15">
          <cell r="X15">
            <v>0</v>
          </cell>
          <cell r="Y15">
            <v>0</v>
          </cell>
        </row>
        <row r="16">
          <cell r="X16">
            <v>0</v>
          </cell>
          <cell r="Y16">
            <v>0</v>
          </cell>
        </row>
        <row r="17">
          <cell r="X17">
            <v>0</v>
          </cell>
          <cell r="Y17">
            <v>0</v>
          </cell>
        </row>
        <row r="18">
          <cell r="X18">
            <v>0</v>
          </cell>
          <cell r="Y18">
            <v>0</v>
          </cell>
        </row>
        <row r="19">
          <cell r="X19">
            <v>0</v>
          </cell>
        </row>
        <row r="20">
          <cell r="Y20">
            <v>0</v>
          </cell>
        </row>
        <row r="21">
          <cell r="X21">
            <v>0</v>
          </cell>
        </row>
        <row r="22">
          <cell r="Y22">
            <v>0</v>
          </cell>
        </row>
        <row r="23">
          <cell r="X23">
            <v>0</v>
          </cell>
          <cell r="Y23">
            <v>0</v>
          </cell>
        </row>
        <row r="24">
          <cell r="X24">
            <v>0</v>
          </cell>
          <cell r="Y24">
            <v>0</v>
          </cell>
        </row>
        <row r="26">
          <cell r="X26">
            <v>0</v>
          </cell>
          <cell r="Y26">
            <v>0</v>
          </cell>
        </row>
      </sheetData>
      <sheetData sheetId="15">
        <row r="11">
          <cell r="B11">
            <v>3022002</v>
          </cell>
        </row>
      </sheetData>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Data Sources"/>
      <sheetName val="New Under Five Assumptions"/>
      <sheetName val="Assumptions"/>
      <sheetName val="Inputs to Inputs!"/>
      <sheetName val="Inputs for SWGE Forecasting"/>
      <sheetName val="Calculation of Repricing Factor"/>
      <sheetName val="Statemented Adjustment Factor "/>
      <sheetName val="PRC Model (Discretionary Comp)"/>
      <sheetName val="PRC Model (Mandatory Comp)"/>
      <sheetName val="Nursery Forecasting"/>
      <sheetName val="Primary Forecasting"/>
      <sheetName val="Secondary Forecasting"/>
      <sheetName val="Special Forecasting"/>
      <sheetName val="FE for Adult Education Forecast"/>
      <sheetName val="Other Forecasting"/>
      <sheetName val="Transport Forecasting"/>
      <sheetName val="Final Summary of all Forecasts"/>
      <sheetName val="Under Fives PVI Split"/>
      <sheetName val="Adding on Extra Grant 00-01"/>
      <sheetName val="Adding on Extra Grant 01-02"/>
      <sheetName val="SSG 2001-02"/>
      <sheetName val="TALL4"/>
      <sheetName val="TALL4 + Extra Grants Monies"/>
      <sheetName val="TALL5 + extra grant monies"/>
      <sheetName val="Tallies Summary"/>
      <sheetName val="Summary of tallies summary"/>
      <sheetName val="Database info"/>
      <sheetName val="Grants 2001-02"/>
      <sheetName val="Project A "/>
      <sheetName val="File_details"/>
      <sheetName val="Data_Sources"/>
      <sheetName val="New_Under_Five_Assumptions"/>
      <sheetName val="Inputs_to_Inputs!"/>
      <sheetName val="Inputs_for_SWGE_Forecasting"/>
      <sheetName val="Calculation_of_Repricing_Factor"/>
      <sheetName val="Statemented_Adjustment_Factor_"/>
      <sheetName val="PRC_Model_(Discretionary_Comp)"/>
      <sheetName val="PRC_Model_(Mandatory_Comp)"/>
      <sheetName val="Nursery_Forecasting"/>
      <sheetName val="Primary_Forecasting"/>
      <sheetName val="Secondary_Forecasting"/>
      <sheetName val="Special_Forecasting"/>
      <sheetName val="FE_for_Adult_Education_Forecast"/>
      <sheetName val="Other_Forecasting"/>
      <sheetName val="Transport_Forecasting"/>
      <sheetName val="Final_Summary_of_all_Forecasts"/>
      <sheetName val="Under_Fives_PVI_Split"/>
      <sheetName val="Adding_on_Extra_Grant_00-01"/>
      <sheetName val="Adding_on_Extra_Grant_01-02"/>
      <sheetName val="SSG_2001-02"/>
      <sheetName val="TALL4_+_Extra_Grants_Monies"/>
      <sheetName val="TALL5_+_extra_grant_monies"/>
      <sheetName val="Tallies_Summary"/>
      <sheetName val="Summary_of_tallies_summary"/>
      <sheetName val="Database_info"/>
      <sheetName val="Grants_2001-02"/>
      <sheetName val="Project_A_"/>
    </sheetNames>
    <sheetDataSet>
      <sheetData sheetId="0" refreshError="1"/>
      <sheetData sheetId="1" refreshError="1"/>
      <sheetData sheetId="2" refreshError="1"/>
      <sheetData sheetId="3" refreshError="1"/>
      <sheetData sheetId="4" refreshError="1"/>
      <sheetData sheetId="5" refreshError="1">
        <row r="3">
          <cell r="B3" t="str">
            <v>1998-99</v>
          </cell>
          <cell r="C3" t="str">
            <v>1999-00</v>
          </cell>
          <cell r="D3" t="str">
            <v>2000-01</v>
          </cell>
          <cell r="E3" t="str">
            <v>2001-02</v>
          </cell>
          <cell r="F3" t="str">
            <v>2002-03</v>
          </cell>
          <cell r="G3" t="str">
            <v>2003-04</v>
          </cell>
          <cell r="H3" t="str">
            <v>2004-05</v>
          </cell>
        </row>
        <row r="135">
          <cell r="C135">
            <v>1</v>
          </cell>
          <cell r="D135">
            <v>1</v>
          </cell>
          <cell r="E135">
            <v>1</v>
          </cell>
          <cell r="F135">
            <v>1</v>
          </cell>
          <cell r="G135">
            <v>1</v>
          </cell>
          <cell r="H135">
            <v>1</v>
          </cell>
        </row>
        <row r="139">
          <cell r="B139">
            <v>196.73915016476209</v>
          </cell>
          <cell r="C139">
            <v>198.91041828191936</v>
          </cell>
          <cell r="D139">
            <v>196.34162543485155</v>
          </cell>
          <cell r="E139">
            <v>200.53888396946479</v>
          </cell>
          <cell r="F139">
            <v>0</v>
          </cell>
          <cell r="G139">
            <v>0</v>
          </cell>
          <cell r="H139">
            <v>0</v>
          </cell>
        </row>
        <row r="144">
          <cell r="B144">
            <v>176.47783333333331</v>
          </cell>
          <cell r="C144">
            <v>175.59816666666666</v>
          </cell>
          <cell r="D144">
            <v>176.12516666666667</v>
          </cell>
          <cell r="E144">
            <v>182.84312520733187</v>
          </cell>
          <cell r="F144">
            <v>187.58534376191687</v>
          </cell>
          <cell r="G144">
            <v>188.49955934202816</v>
          </cell>
          <cell r="H144">
            <v>192.09838747650676</v>
          </cell>
        </row>
        <row r="145">
          <cell r="B145">
            <v>338.64333333333332</v>
          </cell>
          <cell r="C145">
            <v>337.47733333333332</v>
          </cell>
          <cell r="D145">
            <v>337.21066666666661</v>
          </cell>
          <cell r="E145">
            <v>338.74183524869261</v>
          </cell>
          <cell r="F145">
            <v>337.65375845555712</v>
          </cell>
          <cell r="G145">
            <v>333.20393248306664</v>
          </cell>
          <cell r="H145">
            <v>324.64034630614998</v>
          </cell>
        </row>
        <row r="146">
          <cell r="B146">
            <v>195.75183333333331</v>
          </cell>
          <cell r="C146">
            <v>193.28516666666667</v>
          </cell>
          <cell r="D146">
            <v>188.93583333333331</v>
          </cell>
          <cell r="E146">
            <v>191.79893975068418</v>
          </cell>
          <cell r="F146">
            <v>188.18907728269326</v>
          </cell>
          <cell r="G146">
            <v>185.66170830507383</v>
          </cell>
          <cell r="H146">
            <v>182.24230940105787</v>
          </cell>
        </row>
        <row r="147">
          <cell r="B147">
            <v>3589.6316666666667</v>
          </cell>
          <cell r="C147">
            <v>3579.2423333333331</v>
          </cell>
          <cell r="D147">
            <v>3559.9576666666667</v>
          </cell>
          <cell r="E147">
            <v>3514.2731665065708</v>
          </cell>
          <cell r="F147">
            <v>3463.6839864801459</v>
          </cell>
          <cell r="G147">
            <v>3409.9944006875144</v>
          </cell>
          <cell r="H147">
            <v>3363.4002547634286</v>
          </cell>
        </row>
        <row r="148">
          <cell r="B148">
            <v>4300.5046666666667</v>
          </cell>
          <cell r="C148">
            <v>4285.6030000000001</v>
          </cell>
          <cell r="D148">
            <v>4262.2293333333337</v>
          </cell>
          <cell r="E148">
            <v>4227.6570667132792</v>
          </cell>
          <cell r="F148">
            <v>4177.112165980313</v>
          </cell>
          <cell r="G148">
            <v>4117.3596008176828</v>
          </cell>
          <cell r="H148">
            <v>4062.3812979471431</v>
          </cell>
        </row>
        <row r="152">
          <cell r="B152">
            <v>1.1399999999999999</v>
          </cell>
          <cell r="C152">
            <v>0.85</v>
          </cell>
        </row>
        <row r="153">
          <cell r="B153">
            <v>15.68</v>
          </cell>
          <cell r="C153">
            <v>8.6</v>
          </cell>
        </row>
        <row r="154">
          <cell r="B154">
            <v>2.1800000000000002</v>
          </cell>
          <cell r="C154">
            <v>8.6</v>
          </cell>
        </row>
        <row r="155">
          <cell r="B155">
            <v>6.93</v>
          </cell>
          <cell r="C155">
            <v>8.6</v>
          </cell>
        </row>
        <row r="156">
          <cell r="B156">
            <v>1.4</v>
          </cell>
          <cell r="C156">
            <v>1</v>
          </cell>
        </row>
        <row r="157">
          <cell r="B157">
            <v>1.53</v>
          </cell>
          <cell r="C157">
            <v>1</v>
          </cell>
        </row>
        <row r="160">
          <cell r="C160" t="str">
            <v>-</v>
          </cell>
          <cell r="D160">
            <v>13.63</v>
          </cell>
          <cell r="E160">
            <v>14.452999999999999</v>
          </cell>
          <cell r="F160">
            <v>14.452999999999999</v>
          </cell>
          <cell r="G160">
            <v>14.452999999999999</v>
          </cell>
          <cell r="H160">
            <v>14.452999999999999</v>
          </cell>
        </row>
        <row r="161">
          <cell r="C161" t="str">
            <v>-</v>
          </cell>
          <cell r="D161">
            <v>12.96100000000024</v>
          </cell>
          <cell r="E161">
            <v>12.96100000000024</v>
          </cell>
          <cell r="F161">
            <v>12.96100000000024</v>
          </cell>
          <cell r="G161">
            <v>12.96100000000024</v>
          </cell>
          <cell r="H161">
            <v>12.96100000000024</v>
          </cell>
        </row>
      </sheetData>
      <sheetData sheetId="6" refreshError="1">
        <row r="240">
          <cell r="K240">
            <v>1</v>
          </cell>
          <cell r="L240">
            <v>1.0297601082031023</v>
          </cell>
          <cell r="M240">
            <v>1.0666882222224918</v>
          </cell>
          <cell r="N240">
            <v>1.1053587463911394</v>
          </cell>
          <cell r="O240">
            <v>1.1454539305977025</v>
          </cell>
          <cell r="P240">
            <v>1.1870387324689833</v>
          </cell>
        </row>
        <row r="348">
          <cell r="B348">
            <v>1</v>
          </cell>
          <cell r="C348">
            <v>1.0337125366442488</v>
          </cell>
          <cell r="D348">
            <v>1.0743617714194258</v>
          </cell>
          <cell r="E348">
            <v>1.1172222551126498</v>
          </cell>
          <cell r="F348">
            <v>1.1617809636840031</v>
          </cell>
          <cell r="G348">
            <v>1.2081168285019857</v>
          </cell>
        </row>
        <row r="349">
          <cell r="B349">
            <v>1</v>
          </cell>
          <cell r="C349">
            <v>1.0307207130923617</v>
          </cell>
          <cell r="D349">
            <v>1.0639031775845678</v>
          </cell>
          <cell r="E349">
            <v>1.1011428594325494</v>
          </cell>
          <cell r="F349">
            <v>1.1396814871433976</v>
          </cell>
          <cell r="G349">
            <v>1.1795641018229328</v>
          </cell>
        </row>
        <row r="350">
          <cell r="B350">
            <v>1</v>
          </cell>
          <cell r="C350">
            <v>1.0281536801164768</v>
          </cell>
          <cell r="D350">
            <v>1.0641390589205535</v>
          </cell>
          <cell r="E350">
            <v>1.1013891169050116</v>
          </cell>
          <cell r="F350">
            <v>1.1399317081967741</v>
          </cell>
          <cell r="G350">
            <v>1.179823079243741</v>
          </cell>
        </row>
        <row r="351">
          <cell r="B351">
            <v>1</v>
          </cell>
          <cell r="C351">
            <v>1.0281536801164768</v>
          </cell>
          <cell r="D351">
            <v>1.0641390589205535</v>
          </cell>
          <cell r="E351">
            <v>1.1013891169050116</v>
          </cell>
          <cell r="F351">
            <v>1.1399317081967741</v>
          </cell>
          <cell r="G351">
            <v>1.179823079243741</v>
          </cell>
        </row>
        <row r="352">
          <cell r="B352">
            <v>1</v>
          </cell>
          <cell r="C352">
            <v>1.0181536801164768</v>
          </cell>
          <cell r="D352">
            <v>1.0436075221193886</v>
          </cell>
          <cell r="E352">
            <v>1.0697028009407741</v>
          </cell>
          <cell r="F352">
            <v>1.0964395165806327</v>
          </cell>
          <cell r="G352">
            <v>1.1238445037839366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row r="3">
          <cell r="B3" t="str">
            <v>1998-99</v>
          </cell>
        </row>
      </sheetData>
      <sheetData sheetId="35">
        <row r="240">
          <cell r="K240">
            <v>1</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36"/>
  </sheetPr>
  <dimension ref="A1:V529"/>
  <sheetViews>
    <sheetView tabSelected="1" zoomScaleNormal="100" workbookViewId="0">
      <pane xSplit="2" ySplit="7" topLeftCell="C92" activePane="bottomRight" state="frozen"/>
      <selection activeCell="A57" sqref="A57:IV57"/>
      <selection pane="topRight" activeCell="A57" sqref="A57:IV57"/>
      <selection pane="bottomLeft" activeCell="A57" sqref="A57:IV57"/>
      <selection pane="bottomRight" activeCell="F94" sqref="F94"/>
    </sheetView>
  </sheetViews>
  <sheetFormatPr defaultRowHeight="12.75"/>
  <cols>
    <col min="1" max="1" width="32.85546875" customWidth="1"/>
    <col min="2" max="2" width="35.28515625" customWidth="1"/>
    <col min="3" max="6" width="18.85546875" customWidth="1"/>
    <col min="7" max="9" width="14.28515625" bestFit="1" customWidth="1"/>
    <col min="10" max="12" width="15.5703125" bestFit="1" customWidth="1"/>
    <col min="17" max="20" width="11.28515625" customWidth="1"/>
  </cols>
  <sheetData>
    <row r="1" spans="1:22" ht="18.75" thickBot="1">
      <c r="A1" s="151" t="s">
        <v>542</v>
      </c>
      <c r="B1" s="152"/>
      <c r="C1" s="152"/>
      <c r="D1" s="152"/>
      <c r="E1" s="152"/>
      <c r="F1" s="152"/>
      <c r="G1" s="152"/>
      <c r="H1" s="152"/>
      <c r="I1" s="152"/>
      <c r="J1" s="152"/>
      <c r="K1" s="152"/>
      <c r="L1" s="153"/>
      <c r="R1" t="e">
        <f>VLOOKUP(C2,'All Schools Data view only'!A:EB,61,0)</f>
        <v>#N/A</v>
      </c>
    </row>
    <row r="2" spans="1:22" ht="19.5" thickTop="1" thickBot="1">
      <c r="A2" s="154"/>
      <c r="B2" s="155" t="s">
        <v>314</v>
      </c>
      <c r="C2" s="1">
        <f>VLOOKUP(C3,$B$422:$C$537,2,0)</f>
        <v>9999</v>
      </c>
      <c r="D2" s="1">
        <f>VLOOKUP(D3,$B$422:$C$537,2,0)</f>
        <v>9999</v>
      </c>
      <c r="E2" s="1">
        <f>VLOOKUP(E3,$B$422:$C$537,2,0)</f>
        <v>9999</v>
      </c>
      <c r="F2" s="1">
        <f>VLOOKUP(F3,$B$422:$C$537,2,0)</f>
        <v>9999</v>
      </c>
      <c r="G2" s="153"/>
      <c r="H2" s="153"/>
      <c r="I2" s="153"/>
      <c r="J2" s="153"/>
      <c r="K2" s="153"/>
      <c r="L2" s="153"/>
      <c r="Q2" s="19" t="s">
        <v>383</v>
      </c>
      <c r="R2" s="19" t="s">
        <v>384</v>
      </c>
      <c r="S2" s="19" t="s">
        <v>385</v>
      </c>
      <c r="T2" s="19" t="s">
        <v>386</v>
      </c>
      <c r="U2" s="19" t="s">
        <v>387</v>
      </c>
      <c r="V2" s="150" t="s">
        <v>546</v>
      </c>
    </row>
    <row r="3" spans="1:22" ht="42.75" customHeight="1" thickTop="1" thickBot="1">
      <c r="A3" s="435" t="s">
        <v>0</v>
      </c>
      <c r="B3" s="436"/>
      <c r="C3" s="434" t="s">
        <v>26</v>
      </c>
      <c r="D3" s="434" t="s">
        <v>26</v>
      </c>
      <c r="E3" s="434" t="s">
        <v>26</v>
      </c>
      <c r="F3" s="434" t="s">
        <v>26</v>
      </c>
      <c r="G3" s="153"/>
      <c r="H3" s="153"/>
      <c r="I3" s="153"/>
      <c r="J3" s="153"/>
      <c r="K3" s="153"/>
      <c r="L3" s="153"/>
      <c r="Q3" s="40">
        <v>1999</v>
      </c>
      <c r="R3">
        <v>5999</v>
      </c>
      <c r="S3">
        <v>6999</v>
      </c>
      <c r="T3">
        <v>7999</v>
      </c>
      <c r="U3">
        <v>8999</v>
      </c>
      <c r="V3">
        <v>4999</v>
      </c>
    </row>
    <row r="4" spans="1:22" ht="13.5" hidden="1" customHeight="1" thickTop="1">
      <c r="A4" s="153"/>
      <c r="B4" s="153"/>
      <c r="C4" s="153"/>
      <c r="D4" s="153"/>
      <c r="E4" s="153"/>
      <c r="F4" s="153"/>
      <c r="G4" s="153"/>
      <c r="H4" s="153"/>
      <c r="I4" s="153"/>
      <c r="J4" s="153"/>
      <c r="K4" s="153"/>
      <c r="L4" s="153"/>
    </row>
    <row r="5" spans="1:22" ht="17.25" customHeight="1" thickTop="1" thickBot="1">
      <c r="A5" s="153"/>
      <c r="B5" s="156" t="s">
        <v>303</v>
      </c>
      <c r="C5" s="157" t="e">
        <f>VLOOKUP(C2,'All Schools Data view only'!$A$4:$EB$98,60,0)</f>
        <v>#N/A</v>
      </c>
      <c r="D5" s="157" t="e">
        <f>VLOOKUP(D2,'All Schools Data view only'!$A$4:$EB$98,60,0)</f>
        <v>#N/A</v>
      </c>
      <c r="E5" s="157" t="e">
        <f>VLOOKUP(E2,'All Schools Data view only'!$A$4:$EB$98,60,0)</f>
        <v>#N/A</v>
      </c>
      <c r="F5" s="157" t="e">
        <f>VLOOKUP(F2,'All Schools Data view only'!$A$4:$EB$98,60,0)</f>
        <v>#N/A</v>
      </c>
      <c r="G5" s="153"/>
      <c r="H5" s="153"/>
      <c r="I5" s="153"/>
      <c r="J5" s="153"/>
      <c r="K5" s="153"/>
      <c r="L5" s="153"/>
      <c r="M5" s="17"/>
    </row>
    <row r="6" spans="1:22" ht="17.25" thickTop="1" thickBot="1">
      <c r="A6" s="158"/>
      <c r="B6" s="159"/>
      <c r="C6" s="160"/>
      <c r="D6" s="160"/>
      <c r="E6" s="160"/>
      <c r="F6" s="160"/>
      <c r="G6" s="437" t="s">
        <v>315</v>
      </c>
      <c r="H6" s="438"/>
      <c r="I6" s="438"/>
      <c r="J6" s="438"/>
      <c r="K6" s="438"/>
      <c r="L6" s="439"/>
    </row>
    <row r="7" spans="1:22" ht="49.15" customHeight="1" thickTop="1" thickBot="1">
      <c r="A7" s="161" t="s">
        <v>1</v>
      </c>
      <c r="B7" s="162" t="s">
        <v>2</v>
      </c>
      <c r="C7" s="163" t="s">
        <v>3</v>
      </c>
      <c r="D7" s="163" t="s">
        <v>3</v>
      </c>
      <c r="E7" s="163" t="s">
        <v>3</v>
      </c>
      <c r="F7" s="163" t="s">
        <v>3</v>
      </c>
      <c r="G7" s="164" t="s">
        <v>4</v>
      </c>
      <c r="H7" s="165" t="s">
        <v>5</v>
      </c>
      <c r="I7" s="165" t="s">
        <v>6</v>
      </c>
      <c r="J7" s="166" t="s">
        <v>547</v>
      </c>
      <c r="K7" s="166" t="s">
        <v>7</v>
      </c>
      <c r="L7" s="166" t="s">
        <v>325</v>
      </c>
    </row>
    <row r="8" spans="1:22" ht="16.5" thickTop="1">
      <c r="A8" s="167" t="s">
        <v>8</v>
      </c>
      <c r="B8" s="168"/>
      <c r="C8" s="169"/>
      <c r="D8" s="169"/>
      <c r="E8" s="169"/>
      <c r="F8" s="169"/>
      <c r="G8" s="170"/>
      <c r="H8" s="171"/>
      <c r="I8" s="171"/>
      <c r="J8" s="172"/>
      <c r="K8" s="172"/>
      <c r="L8" s="153"/>
    </row>
    <row r="9" spans="1:22" ht="15.75">
      <c r="A9" s="173" t="s">
        <v>246</v>
      </c>
      <c r="B9" s="174" t="s">
        <v>9</v>
      </c>
      <c r="C9" s="175" t="str">
        <f>IF(ISERROR(VLOOKUP(C$2,'All Schools Data view only'!$A:$EF,63,0)),"",VLOOKUP(C$2,'All Schools Data view only'!$A:$EF,63,0))</f>
        <v/>
      </c>
      <c r="D9" s="175" t="str">
        <f>IF(ISERROR(VLOOKUP(D$2,'All Schools Data view only'!$A:$EF,63,0)),"",VLOOKUP(D$2,'All Schools Data view only'!$A:$EF,63,0))</f>
        <v/>
      </c>
      <c r="E9" s="175" t="str">
        <f>IF(ISERROR(VLOOKUP(E$2,'All Schools Data view only'!$A:$EF,63,0)),"",VLOOKUP(E$2,'All Schools Data view only'!$A:$EF,63,0))</f>
        <v/>
      </c>
      <c r="F9" s="175" t="str">
        <f>IF(ISERROR(VLOOKUP(F$2,'All Schools Data view only'!$A:$EF,63,0)),"",VLOOKUP(F$2,'All Schools Data view only'!$A:$EF,63,0))</f>
        <v/>
      </c>
      <c r="G9" s="176">
        <f>VLOOKUP(Q$3,'All Schools Data view only'!A:EF,63,0)</f>
        <v>0.28877637977834869</v>
      </c>
      <c r="H9" s="177">
        <f>VLOOKUP(R$3,'All Schools Data view only'!A:EF,63,0)</f>
        <v>0.77943244623124019</v>
      </c>
      <c r="I9" s="177">
        <f>VLOOKUP(S$3,'All Schools Data view only'!A:EF,63,0)</f>
        <v>0.67138578072479949</v>
      </c>
      <c r="J9" s="177">
        <f>VLOOKUP(V$3,'All Schools Data view only'!A:EF,63,0)</f>
        <v>0.82309528051001335</v>
      </c>
      <c r="K9" s="178">
        <f>VLOOKUP(T$3,'All Schools Data view only'!A:EF,63,0)</f>
        <v>0.34411113763498186</v>
      </c>
      <c r="L9" s="178">
        <f>VLOOKUP(U$3,'All Schools Data view only'!A:EF,63,0)</f>
        <v>0.65610738053274953</v>
      </c>
    </row>
    <row r="10" spans="1:22" ht="15.75">
      <c r="A10" s="167"/>
      <c r="B10" s="179" t="s">
        <v>10</v>
      </c>
      <c r="C10" s="180" t="str">
        <f>IF(ISERROR(VLOOKUP(C$2,'All Schools Data view only'!$A:$EF,64,0)),"",VLOOKUP(C$2,'All Schools Data view only'!$A:$EF,64,0))</f>
        <v/>
      </c>
      <c r="D10" s="180" t="str">
        <f>IF(ISERROR(VLOOKUP(D$2,'All Schools Data view only'!$A:$EF,64,0)),"",VLOOKUP(D$2,'All Schools Data view only'!$A:$EF,64,0))</f>
        <v/>
      </c>
      <c r="E10" s="180" t="str">
        <f>IF(ISERROR(VLOOKUP(E$2,'All Schools Data view only'!$A:$EF,64,0)),"",VLOOKUP(E$2,'All Schools Data view only'!$A:$EF,64,0))</f>
        <v/>
      </c>
      <c r="F10" s="180" t="str">
        <f>IF(ISERROR(VLOOKUP(F$2,'All Schools Data view only'!$A:$EF,64,0)),"",VLOOKUP(F$2,'All Schools Data view only'!$A:$EF,64,0))</f>
        <v/>
      </c>
      <c r="G10" s="181">
        <f>VLOOKUP(Q$3,'All Schools Data view only'!A:EF,64,0)</f>
        <v>3176.7716395519947</v>
      </c>
      <c r="H10" s="182">
        <f>VLOOKUP(R$3,'All Schools Data view only'!A:EF,64,0)</f>
        <v>4958.6541319873295</v>
      </c>
      <c r="I10" s="182">
        <f>VLOOKUP(S$3,'All Schools Data view only'!A:EF,64,0)</f>
        <v>5047.7315501765406</v>
      </c>
      <c r="J10" s="182">
        <f>VLOOKUP(V$3,'All Schools Data view only'!A:EF,64,0)</f>
        <v>5324.8619591576262</v>
      </c>
      <c r="K10" s="183">
        <f>VLOOKUP(T$3,'All Schools Data view only'!A:EF,64,0)</f>
        <v>10668.266368000865</v>
      </c>
      <c r="L10" s="183">
        <f>VLOOKUP(U$3,'All Schools Data view only'!A:EF,64,0)</f>
        <v>16051.621404984424</v>
      </c>
    </row>
    <row r="11" spans="1:22" ht="15.75">
      <c r="A11" s="167"/>
      <c r="B11" s="168"/>
      <c r="C11" s="169"/>
      <c r="D11" s="169"/>
      <c r="E11" s="169"/>
      <c r="F11" s="169"/>
      <c r="G11" s="184"/>
      <c r="H11" s="185"/>
      <c r="I11" s="185"/>
      <c r="J11" s="186"/>
      <c r="K11" s="186"/>
      <c r="L11" s="186"/>
    </row>
    <row r="12" spans="1:22" ht="15.75">
      <c r="A12" s="173" t="s">
        <v>128</v>
      </c>
      <c r="B12" s="174" t="s">
        <v>9</v>
      </c>
      <c r="C12" s="175" t="str">
        <f>IF(ISERROR(VLOOKUP(C$2,'All Schools Data view only'!$A:$EF,65,0)),"",VLOOKUP(C$2,'All Schools Data view only'!$A:$EF,65,0))</f>
        <v/>
      </c>
      <c r="D12" s="175" t="str">
        <f>IF(ISERROR(VLOOKUP(D$2,'All Schools Data view only'!$A:$EF,65,0)),"",VLOOKUP(D$2,'All Schools Data view only'!$A:$EF,65,0))</f>
        <v/>
      </c>
      <c r="E12" s="175" t="str">
        <f>IF(ISERROR(VLOOKUP(E$2,'All Schools Data view only'!$A:$EF,65,0)),"",VLOOKUP(E$2,'All Schools Data view only'!$A:$EF,65,0))</f>
        <v/>
      </c>
      <c r="F12" s="175" t="str">
        <f>IF(ISERROR(VLOOKUP(F$2,'All Schools Data view only'!$A:$EF,65,0)),"",VLOOKUP(F$2,'All Schools Data view only'!$A:$EF,65,0))</f>
        <v/>
      </c>
      <c r="G12" s="187">
        <f>VLOOKUP(Q$3,'All Schools Data view only'!A:EF,65,0)</f>
        <v>0</v>
      </c>
      <c r="H12" s="188">
        <f>VLOOKUP(R$3,'All Schools Data view only'!A:EF,65,0)</f>
        <v>0</v>
      </c>
      <c r="I12" s="188">
        <f>VLOOKUP(S$3,'All Schools Data view only'!A:EF,65,0)</f>
        <v>0.14273022478112676</v>
      </c>
      <c r="J12" s="188">
        <f>VLOOKUP(V$3,'All Schools Data view only'!A:EF,65,0)</f>
        <v>3.9361905198852812E-2</v>
      </c>
      <c r="K12" s="189">
        <f>VLOOKUP(T$3,'All Schools Data view only'!A:EF,65,0)</f>
        <v>2.7285254879771917E-2</v>
      </c>
      <c r="L12" s="189">
        <f>VLOOKUP(U$3,'All Schools Data view only'!A:EF,65,0)</f>
        <v>0</v>
      </c>
    </row>
    <row r="13" spans="1:22" ht="15.75">
      <c r="A13" s="173"/>
      <c r="B13" s="179" t="s">
        <v>10</v>
      </c>
      <c r="C13" s="180" t="str">
        <f>IF(ISERROR(VLOOKUP(C$2,'All Schools Data view only'!$A:$EF,66,0)),"",VLOOKUP(C$2,'All Schools Data view only'!$A:$EF,66,0))</f>
        <v/>
      </c>
      <c r="D13" s="180" t="str">
        <f>IF(ISERROR(VLOOKUP(D$2,'All Schools Data view only'!$A:$EF,66,0)),"",VLOOKUP(D$2,'All Schools Data view only'!$A:$EF,66,0))</f>
        <v/>
      </c>
      <c r="E13" s="180" t="str">
        <f>IF(ISERROR(VLOOKUP(E$2,'All Schools Data view only'!$A:$EF,66,0)),"",VLOOKUP(E$2,'All Schools Data view only'!$A:$EF,66,0))</f>
        <v/>
      </c>
      <c r="F13" s="180" t="str">
        <f>IF(ISERROR(VLOOKUP(F$2,'All Schools Data view only'!$A:$EF,66,0)),"",VLOOKUP(F$2,'All Schools Data view only'!$A:$EF,66,0))</f>
        <v/>
      </c>
      <c r="G13" s="190">
        <f>VLOOKUP(Q$3,'All Schools Data view only'!A:EF,66,0)</f>
        <v>0</v>
      </c>
      <c r="H13" s="191">
        <f>VLOOKUP(R$3,'All Schools Data view only'!A:EF,66,0)</f>
        <v>0</v>
      </c>
      <c r="I13" s="191">
        <f>VLOOKUP(S$3,'All Schools Data view only'!A:EF,66,0)</f>
        <v>1014.6408577743147</v>
      </c>
      <c r="J13" s="191">
        <f>VLOOKUP(V$3,'All Schools Data view only'!A:EF,66,0)</f>
        <v>254.64453095086151</v>
      </c>
      <c r="K13" s="192">
        <f>VLOOKUP(T$3,'All Schools Data view only'!A:EF,66,0)</f>
        <v>964.67</v>
      </c>
      <c r="L13" s="192">
        <f>VLOOKUP(U$3,'All Schools Data view only'!A:EF,66,0)</f>
        <v>0</v>
      </c>
    </row>
    <row r="14" spans="1:22" ht="15.75">
      <c r="A14" s="173"/>
      <c r="B14" s="179"/>
      <c r="C14" s="169"/>
      <c r="D14" s="169"/>
      <c r="E14" s="169"/>
      <c r="F14" s="169"/>
      <c r="G14" s="193"/>
      <c r="H14" s="194"/>
      <c r="I14" s="194"/>
      <c r="J14" s="195"/>
      <c r="K14" s="195"/>
      <c r="L14" s="195"/>
    </row>
    <row r="15" spans="1:22" ht="15.75">
      <c r="A15" s="173" t="s">
        <v>129</v>
      </c>
      <c r="B15" s="174" t="s">
        <v>9</v>
      </c>
      <c r="C15" s="175" t="str">
        <f>IF(ISERROR(VLOOKUP(C$2,'All Schools Data view only'!$A:$EF,67,0)),"",VLOOKUP(C$2,'All Schools Data view only'!$A:$EF,67,0))</f>
        <v/>
      </c>
      <c r="D15" s="175" t="str">
        <f>IF(ISERROR(VLOOKUP(D$2,'All Schools Data view only'!$A:$EF,67,0)),"",VLOOKUP(D$2,'All Schools Data view only'!$A:$EF,67,0))</f>
        <v/>
      </c>
      <c r="E15" s="175" t="str">
        <f>IF(ISERROR(VLOOKUP(E$2,'All Schools Data view only'!$A:$EF,67,0)),"",VLOOKUP(E$2,'All Schools Data view only'!$A:$EF,67,0))</f>
        <v/>
      </c>
      <c r="F15" s="175" t="str">
        <f>IF(ISERROR(VLOOKUP(F$2,'All Schools Data view only'!$A:$EF,67,0)),"",VLOOKUP(F$2,'All Schools Data view only'!$A:$EF,67,0))</f>
        <v/>
      </c>
      <c r="G15" s="187">
        <f>VLOOKUP(Q$3,'All Schools Data view only'!A:EF,67,0)</f>
        <v>1.7048020462857798E-2</v>
      </c>
      <c r="H15" s="188">
        <f>VLOOKUP(R$3,'All Schools Data view only'!A:EF,67,0)</f>
        <v>4.3094375723096358E-2</v>
      </c>
      <c r="I15" s="188">
        <f>VLOOKUP(S$3,'All Schools Data view only'!A:EF,67,0)</f>
        <v>4.1739918205099667E-2</v>
      </c>
      <c r="J15" s="188">
        <f>VLOOKUP(V$3,'All Schools Data view only'!A:EF,67,0)</f>
        <v>2.4978968751531765E-2</v>
      </c>
      <c r="K15" s="189">
        <f>VLOOKUP(T$3,'All Schools Data view only'!A:EF,67,0)</f>
        <v>0.537538141996588</v>
      </c>
      <c r="L15" s="189">
        <f>VLOOKUP(U$3,'All Schools Data view only'!A:EF,67,0)</f>
        <v>0.17301883180962574</v>
      </c>
    </row>
    <row r="16" spans="1:22" ht="15.75">
      <c r="A16" s="173"/>
      <c r="B16" s="179" t="s">
        <v>10</v>
      </c>
      <c r="C16" s="180" t="str">
        <f>IF(ISERROR(VLOOKUP(C$2,'All Schools Data view only'!$A:$EF,68,0)),"",VLOOKUP(C$2,'All Schools Data view only'!$A:$EF,68,0))</f>
        <v/>
      </c>
      <c r="D16" s="180" t="str">
        <f>IF(ISERROR(VLOOKUP(D$2,'All Schools Data view only'!$A:$EF,68,0)),"",VLOOKUP(D$2,'All Schools Data view only'!$A:$EF,68,0))</f>
        <v/>
      </c>
      <c r="E16" s="180" t="str">
        <f>IF(ISERROR(VLOOKUP(E$2,'All Schools Data view only'!$A:$EF,68,0)),"",VLOOKUP(E$2,'All Schools Data view only'!$A:$EF,68,0))</f>
        <v/>
      </c>
      <c r="F16" s="180" t="str">
        <f>IF(ISERROR(VLOOKUP(F$2,'All Schools Data view only'!$A:$EF,68,0)),"",VLOOKUP(F$2,'All Schools Data view only'!$A:$EF,68,0))</f>
        <v/>
      </c>
      <c r="G16" s="190">
        <f>VLOOKUP(Q$3,'All Schools Data view only'!A:EF,68,0)</f>
        <v>182.37192721958797</v>
      </c>
      <c r="H16" s="191">
        <f>VLOOKUP(R$3,'All Schools Data view only'!A:EF,68,0)</f>
        <v>288.9245572970849</v>
      </c>
      <c r="I16" s="191">
        <f>VLOOKUP(S$3,'All Schools Data view only'!A:EF,68,0)</f>
        <v>356.37078072828666</v>
      </c>
      <c r="J16" s="191">
        <f>VLOOKUP(V$3,'All Schools Data view only'!A:EF,68,0)</f>
        <v>161.59679642629229</v>
      </c>
      <c r="K16" s="192">
        <f>VLOOKUP(T$3,'All Schools Data view only'!A:EF,68,0)</f>
        <v>17195.059840777503</v>
      </c>
      <c r="L16" s="192">
        <f>VLOOKUP(U$3,'All Schools Data view only'!A:EF,68,0)</f>
        <v>5047.7719626168218</v>
      </c>
      <c r="N16" t="e">
        <f>VLOOKUP($C$2,'All Schools Data view only'!$A$2:$EB$108,66,0)</f>
        <v>#N/A</v>
      </c>
    </row>
    <row r="17" spans="1:12" ht="15">
      <c r="A17" s="173"/>
      <c r="B17" s="179"/>
      <c r="C17" s="196"/>
      <c r="D17" s="196"/>
      <c r="E17" s="196"/>
      <c r="F17" s="196"/>
      <c r="G17" s="193"/>
      <c r="H17" s="194"/>
      <c r="I17" s="194"/>
      <c r="J17" s="195"/>
      <c r="K17" s="195"/>
      <c r="L17" s="195"/>
    </row>
    <row r="18" spans="1:12" ht="15.75">
      <c r="A18" s="173" t="s">
        <v>312</v>
      </c>
      <c r="B18" s="174" t="s">
        <v>9</v>
      </c>
      <c r="C18" s="175" t="str">
        <f>IF(ISERROR(VLOOKUP(C$2,'All Schools Data view only'!$A:$EF,71,0)),"",VLOOKUP(C$2,'All Schools Data view only'!$A:$EF,71,0))</f>
        <v/>
      </c>
      <c r="D18" s="175" t="str">
        <f>IF(ISERROR(VLOOKUP(D$2,'All Schools Data view only'!$A:$EF,71,0)),"",VLOOKUP(D$2,'All Schools Data view only'!$A:$EF,71,0))</f>
        <v/>
      </c>
      <c r="E18" s="175" t="str">
        <f>IF(ISERROR(VLOOKUP(E$2,'All Schools Data view only'!$A:$EF,71,0)),"",VLOOKUP(E$2,'All Schools Data view only'!$A:$EF,71,0))</f>
        <v/>
      </c>
      <c r="F18" s="175" t="str">
        <f>IF(ISERROR(VLOOKUP(F$2,'All Schools Data view only'!$A:$EF,71,0)),"",VLOOKUP(F$2,'All Schools Data view only'!$A:$EF,71,0))</f>
        <v/>
      </c>
      <c r="G18" s="187">
        <f>VLOOKUP(Q$3,'All Schools Data view only'!A:EF,71,0)</f>
        <v>0</v>
      </c>
      <c r="H18" s="188">
        <f>VLOOKUP(R$3,'All Schools Data view only'!A:EF,71,0)</f>
        <v>4.0777947642111498E-2</v>
      </c>
      <c r="I18" s="188">
        <f>VLOOKUP(S$3,'All Schools Data view only'!A:EF,71,0)</f>
        <v>2.0015988697163731E-2</v>
      </c>
      <c r="J18" s="188">
        <f>VLOOKUP(V$3,'All Schools Data view only'!A:EF,71,0)</f>
        <v>5.2247048614058468E-2</v>
      </c>
      <c r="K18" s="189">
        <f>VLOOKUP(T$3,'All Schools Data view only'!A:EF,71,0)</f>
        <v>1.3812454853673375E-2</v>
      </c>
      <c r="L18" s="189">
        <f>VLOOKUP(U$3,'All Schools Data view only'!A:EF,71,0)</f>
        <v>1.0037827548792292E-2</v>
      </c>
    </row>
    <row r="19" spans="1:12" ht="15.75">
      <c r="A19" s="173"/>
      <c r="B19" s="179" t="s">
        <v>10</v>
      </c>
      <c r="C19" s="180" t="str">
        <f>IF(ISERROR(VLOOKUP(C$2,'All Schools Data view only'!$A:$EF,72,0)),"",VLOOKUP(C$2,'All Schools Data view only'!$A:$EF,72,0))</f>
        <v/>
      </c>
      <c r="D19" s="180" t="str">
        <f>IF(ISERROR(VLOOKUP(D$2,'All Schools Data view only'!$A:$EF,72,0)),"",VLOOKUP(D$2,'All Schools Data view only'!$A:$EF,72,0))</f>
        <v/>
      </c>
      <c r="E19" s="180" t="str">
        <f>IF(ISERROR(VLOOKUP(E$2,'All Schools Data view only'!$A:$EF,72,0)),"",VLOOKUP(E$2,'All Schools Data view only'!$A:$EF,72,0))</f>
        <v/>
      </c>
      <c r="F19" s="180" t="str">
        <f>IF(ISERROR(VLOOKUP(F$2,'All Schools Data view only'!$A:$EF,72,0)),"",VLOOKUP(F$2,'All Schools Data view only'!$A:$EF,72,0))</f>
        <v/>
      </c>
      <c r="G19" s="190">
        <f>VLOOKUP(Q$3,'All Schools Data view only'!A:EF,72,0)</f>
        <v>0</v>
      </c>
      <c r="H19" s="191">
        <f>VLOOKUP(R$3,'All Schools Data view only'!A:EF,72,0)</f>
        <v>265.22267388111442</v>
      </c>
      <c r="I19" s="191">
        <f>VLOOKUP(S$3,'All Schools Data view only'!A:EF,72,0)</f>
        <v>151.73799213634211</v>
      </c>
      <c r="J19" s="191">
        <f>VLOOKUP(V$3,'All Schools Data view only'!A:EF,72,0)</f>
        <v>338.00257179323552</v>
      </c>
      <c r="K19" s="192">
        <f>VLOOKUP(T$3,'All Schools Data view only'!A:EF,72,0)</f>
        <v>419.42772943863059</v>
      </c>
      <c r="L19" s="192">
        <f>VLOOKUP(U$3,'All Schools Data view only'!A:EF,72,0)</f>
        <v>250.79359345794393</v>
      </c>
    </row>
    <row r="20" spans="1:12" ht="15.75">
      <c r="A20" s="173"/>
      <c r="B20" s="179"/>
      <c r="C20" s="169"/>
      <c r="D20" s="169"/>
      <c r="E20" s="169"/>
      <c r="F20" s="169"/>
      <c r="G20" s="193"/>
      <c r="H20" s="194"/>
      <c r="I20" s="194"/>
      <c r="J20" s="195"/>
      <c r="K20" s="195"/>
      <c r="L20" s="195"/>
    </row>
    <row r="21" spans="1:12" ht="15.75">
      <c r="A21" s="173" t="s">
        <v>131</v>
      </c>
      <c r="B21" s="174" t="s">
        <v>9</v>
      </c>
      <c r="C21" s="175" t="str">
        <f>IF(ISERROR(VLOOKUP(C$2,'All Schools Data view only'!$A:$EF,73,0)),"",VLOOKUP(C$2,'All Schools Data view only'!$A:$EF,73,0))</f>
        <v/>
      </c>
      <c r="D21" s="175" t="str">
        <f>IF(ISERROR(VLOOKUP(D$2,'All Schools Data view only'!$A:$EF,73,0)),"",VLOOKUP(D$2,'All Schools Data view only'!$A:$EF,73,0))</f>
        <v/>
      </c>
      <c r="E21" s="175" t="str">
        <f>IF(ISERROR(VLOOKUP(E$2,'All Schools Data view only'!$A:$EF,73,0)),"",VLOOKUP(E$2,'All Schools Data view only'!$A:$EF,73,0))</f>
        <v/>
      </c>
      <c r="F21" s="175" t="str">
        <f>IF(ISERROR(VLOOKUP(F$2,'All Schools Data view only'!$A:$EF,73,0)),"",VLOOKUP(F$2,'All Schools Data view only'!$A:$EF,73,0))</f>
        <v/>
      </c>
      <c r="G21" s="187">
        <f>VLOOKUP(Q$3,'All Schools Data view only'!A:EF,73,0)</f>
        <v>1.5806660730055891E-2</v>
      </c>
      <c r="H21" s="188">
        <f>VLOOKUP(R$3,'All Schools Data view only'!A:EF,73,0)</f>
        <v>5.261756839088058E-3</v>
      </c>
      <c r="I21" s="188">
        <f>VLOOKUP(S$3,'All Schools Data view only'!A:EF,73,0)</f>
        <v>1.5208861531796479E-2</v>
      </c>
      <c r="J21" s="188">
        <f>VLOOKUP(V$3,'All Schools Data view only'!A:EF,73,0)</f>
        <v>1.479667110017679E-4</v>
      </c>
      <c r="K21" s="189">
        <f>VLOOKUP(T$3,'All Schools Data view only'!A:EF,73,0)</f>
        <v>3.0142987809050697E-3</v>
      </c>
      <c r="L21" s="189">
        <f>VLOOKUP(U$3,'All Schools Data view only'!A:EF,73,0)</f>
        <v>0</v>
      </c>
    </row>
    <row r="22" spans="1:12" ht="15.75">
      <c r="A22" s="173"/>
      <c r="B22" s="179" t="s">
        <v>10</v>
      </c>
      <c r="C22" s="180" t="str">
        <f>IF(ISERROR(VLOOKUP(C$2,'All Schools Data view only'!$A:$EF,74,0)),"",VLOOKUP(C$2,'All Schools Data view only'!$A:$EF,74,0))</f>
        <v/>
      </c>
      <c r="D22" s="180" t="str">
        <f>IF(ISERROR(VLOOKUP(D$2,'All Schools Data view only'!$A:$EF,74,0)),"",VLOOKUP(D$2,'All Schools Data view only'!$A:$EF,74,0))</f>
        <v/>
      </c>
      <c r="E22" s="180" t="str">
        <f>IF(ISERROR(VLOOKUP(E$2,'All Schools Data view only'!$A:$EF,74,0)),"",VLOOKUP(E$2,'All Schools Data view only'!$A:$EF,74,0))</f>
        <v/>
      </c>
      <c r="F22" s="180" t="str">
        <f>IF(ISERROR(VLOOKUP(F$2,'All Schools Data view only'!$A:$EF,74,0)),"",VLOOKUP(F$2,'All Schools Data view only'!$A:$EF,74,0))</f>
        <v/>
      </c>
      <c r="G22" s="190">
        <f>VLOOKUP(Q$3,'All Schools Data view only'!A:EF,74,0)</f>
        <v>193.24431818181819</v>
      </c>
      <c r="H22" s="191">
        <f>VLOOKUP(R$3,'All Schools Data view only'!A:EF,74,0)</f>
        <v>35.609848322533182</v>
      </c>
      <c r="I22" s="191">
        <f>VLOOKUP(S$3,'All Schools Data view only'!A:EF,74,0)</f>
        <v>128.24929781343221</v>
      </c>
      <c r="J22" s="191">
        <f>VLOOKUP(V$3,'All Schools Data view only'!A:EF,74,0)</f>
        <v>0.95724313975749842</v>
      </c>
      <c r="K22" s="192">
        <f>VLOOKUP(T$3,'All Schools Data view only'!A:EF,74,0)</f>
        <v>106.57051282051282</v>
      </c>
      <c r="L22" s="192">
        <f>VLOOKUP(U$3,'All Schools Data view only'!A:EF,74,0)</f>
        <v>0</v>
      </c>
    </row>
    <row r="23" spans="1:12" ht="15.75">
      <c r="A23" s="173"/>
      <c r="B23" s="179"/>
      <c r="C23" s="169"/>
      <c r="D23" s="169"/>
      <c r="E23" s="169"/>
      <c r="F23" s="169"/>
      <c r="G23" s="193"/>
      <c r="H23" s="194"/>
      <c r="I23" s="194"/>
      <c r="J23" s="195"/>
      <c r="K23" s="195"/>
      <c r="L23" s="195"/>
    </row>
    <row r="24" spans="1:12" ht="15.75">
      <c r="A24" s="173" t="s">
        <v>132</v>
      </c>
      <c r="B24" s="174" t="s">
        <v>9</v>
      </c>
      <c r="C24" s="175" t="str">
        <f>IF(ISERROR(VLOOKUP(C$2,'All Schools Data view only'!$A:$EF,75,0)),"",VLOOKUP(C$2,'All Schools Data view only'!$A:$EF,75,0))</f>
        <v/>
      </c>
      <c r="D24" s="175" t="str">
        <f>IF(ISERROR(VLOOKUP(D$2,'All Schools Data view only'!$A:$EF,75,0)),"",VLOOKUP(D$2,'All Schools Data view only'!$A:$EF,75,0))</f>
        <v/>
      </c>
      <c r="E24" s="175" t="str">
        <f>IF(ISERROR(VLOOKUP(E$2,'All Schools Data view only'!$A:$EF,75,0)),"",VLOOKUP(E$2,'All Schools Data view only'!$A:$EF,75,0))</f>
        <v/>
      </c>
      <c r="F24" s="175" t="str">
        <f>IF(ISERROR(VLOOKUP(F$2,'All Schools Data view only'!$A:$EF,75,0)),"",VLOOKUP(F$2,'All Schools Data view only'!$A:$EF,75,0))</f>
        <v/>
      </c>
      <c r="G24" s="187">
        <f>VLOOKUP(Q$3,'All Schools Data view only'!A:EF,75,0)</f>
        <v>1.7899604400085964E-2</v>
      </c>
      <c r="H24" s="188">
        <f>VLOOKUP(R$3,'All Schools Data view only'!A:EF,75,0)</f>
        <v>4.9705134603222527E-3</v>
      </c>
      <c r="I24" s="188">
        <f>VLOOKUP(S$3,'All Schools Data view only'!A:EF,75,0)</f>
        <v>2.0603775718491422E-4</v>
      </c>
      <c r="J24" s="188">
        <f>VLOOKUP(V$3,'All Schools Data view only'!A:EF,75,0)</f>
        <v>1.693602313007735E-3</v>
      </c>
      <c r="K24" s="189">
        <f>VLOOKUP(T$3,'All Schools Data view only'!A:EF,75,0)</f>
        <v>5.1431635816988758E-2</v>
      </c>
      <c r="L24" s="189">
        <f>VLOOKUP(U$3,'All Schools Data view only'!A:EF,75,0)</f>
        <v>1.2232608388816789E-2</v>
      </c>
    </row>
    <row r="25" spans="1:12" ht="15.75">
      <c r="A25" s="173"/>
      <c r="B25" s="179" t="s">
        <v>10</v>
      </c>
      <c r="C25" s="180" t="str">
        <f>IF(ISERROR(VLOOKUP(C$2,'All Schools Data view only'!$A:$EF,76,0)),"",VLOOKUP(C$2,'All Schools Data view only'!$A:$EF,76,0))</f>
        <v/>
      </c>
      <c r="D25" s="180" t="str">
        <f>IF(ISERROR(VLOOKUP(D$2,'All Schools Data view only'!$A:$EF,76,0)),"",VLOOKUP(D$2,'All Schools Data view only'!$A:$EF,76,0))</f>
        <v/>
      </c>
      <c r="E25" s="180" t="str">
        <f>IF(ISERROR(VLOOKUP(E$2,'All Schools Data view only'!$A:$EF,76,0)),"",VLOOKUP(E$2,'All Schools Data view only'!$A:$EF,76,0))</f>
        <v/>
      </c>
      <c r="F25" s="180" t="str">
        <f>IF(ISERROR(VLOOKUP(F$2,'All Schools Data view only'!$A:$EF,76,0)),"",VLOOKUP(F$2,'All Schools Data view only'!$A:$EF,76,0))</f>
        <v/>
      </c>
      <c r="G25" s="190">
        <f>VLOOKUP(Q$3,'All Schools Data view only'!A:EF,76,0)</f>
        <v>196.59886976782212</v>
      </c>
      <c r="H25" s="191">
        <f>VLOOKUP(R$3,'All Schools Data view only'!A:EF,76,0)</f>
        <v>32.801694886704063</v>
      </c>
      <c r="I25" s="191">
        <f>VLOOKUP(S$3,'All Schools Data view only'!A:EF,76,0)</f>
        <v>1.5326035858951219</v>
      </c>
      <c r="J25" s="191">
        <f>VLOOKUP(V$3,'All Schools Data view only'!A:EF,76,0)</f>
        <v>10.956445437141033</v>
      </c>
      <c r="K25" s="192">
        <f>VLOOKUP(T$3,'All Schools Data view only'!A:EF,76,0)</f>
        <v>1794.4803568196257</v>
      </c>
      <c r="L25" s="192">
        <f>VLOOKUP(U$3,'All Schools Data view only'!A:EF,76,0)</f>
        <v>332.12202180685358</v>
      </c>
    </row>
    <row r="26" spans="1:12" ht="15.75">
      <c r="A26" s="173"/>
      <c r="B26" s="179"/>
      <c r="C26" s="169"/>
      <c r="D26" s="169"/>
      <c r="E26" s="169"/>
      <c r="F26" s="169"/>
      <c r="G26" s="193"/>
      <c r="H26" s="194"/>
      <c r="I26" s="194"/>
      <c r="J26" s="195"/>
      <c r="K26" s="195"/>
      <c r="L26" s="195"/>
    </row>
    <row r="27" spans="1:12" ht="30.75">
      <c r="A27" s="197" t="s">
        <v>400</v>
      </c>
      <c r="B27" s="174" t="s">
        <v>9</v>
      </c>
      <c r="C27" s="175" t="str">
        <f>IF(ISERROR(VLOOKUP(C$2,'All Schools Data view only'!$A:$EF,77,0)),"",VLOOKUP(C$2,'All Schools Data view only'!$A:$EF,77,0))</f>
        <v/>
      </c>
      <c r="D27" s="175" t="str">
        <f>IF(ISERROR(VLOOKUP(D$2,'All Schools Data view only'!$A:$EF,77,0)),"",VLOOKUP(D$2,'All Schools Data view only'!$A:$EF,77,0))</f>
        <v/>
      </c>
      <c r="E27" s="175" t="str">
        <f>IF(ISERROR(VLOOKUP(E$2,'All Schools Data view only'!$A:$EF,77,0)),"",VLOOKUP(E$2,'All Schools Data view only'!$A:$EF,77,0))</f>
        <v/>
      </c>
      <c r="F27" s="175" t="str">
        <f>IF(ISERROR(VLOOKUP(F$2,'All Schools Data view only'!$A:$EF,77,0)),"",VLOOKUP(F$2,'All Schools Data view only'!$A:$EF,77,0))</f>
        <v/>
      </c>
      <c r="G27" s="187">
        <f>VLOOKUP(Q$3,'All Schools Data view only'!A:EF,77,0)</f>
        <v>0.14598177041860363</v>
      </c>
      <c r="H27" s="188">
        <f>VLOOKUP(R$3,'All Schools Data view only'!A:EF,77,0)</f>
        <v>2.6537979335133292E-2</v>
      </c>
      <c r="I27" s="188">
        <f>VLOOKUP(S$3,'All Schools Data view only'!A:EF,77,0)</f>
        <v>2.3117890470643852E-3</v>
      </c>
      <c r="J27" s="188">
        <f>VLOOKUP(V$3,'All Schools Data view only'!A:EF,77,0)</f>
        <v>8.5566998522789151E-3</v>
      </c>
      <c r="K27" s="189">
        <f>VLOOKUP(T$3,'All Schools Data view only'!A:EF,77,0)</f>
        <v>6.3136557942231773E-3</v>
      </c>
      <c r="L27" s="189">
        <f>VLOOKUP(U$3,'All Schools Data view only'!A:EF,77,0)</f>
        <v>0.10406580919371591</v>
      </c>
    </row>
    <row r="28" spans="1:12" ht="15.75">
      <c r="A28" s="173"/>
      <c r="B28" s="179" t="s">
        <v>10</v>
      </c>
      <c r="C28" s="180" t="str">
        <f>IF(ISERROR(VLOOKUP(C$2,'All Schools Data view only'!$A:$EF,78,0)),"",VLOOKUP(C$2,'All Schools Data view only'!$A:$EF,78,0))</f>
        <v/>
      </c>
      <c r="D28" s="180" t="str">
        <f>IF(ISERROR(VLOOKUP(D$2,'All Schools Data view only'!$A:$EF,78,0)),"",VLOOKUP(D$2,'All Schools Data view only'!$A:$EF,78,0))</f>
        <v/>
      </c>
      <c r="E28" s="180" t="str">
        <f>IF(ISERROR(VLOOKUP(E$2,'All Schools Data view only'!$A:$EF,78,0)),"",VLOOKUP(E$2,'All Schools Data view only'!$A:$EF,78,0))</f>
        <v/>
      </c>
      <c r="F28" s="180" t="str">
        <f>IF(ISERROR(VLOOKUP(F$2,'All Schools Data view only'!$A:$EF,78,0)),"",VLOOKUP(F$2,'All Schools Data view only'!$A:$EF,78,0))</f>
        <v/>
      </c>
      <c r="G28" s="190">
        <f>VLOOKUP(Q$3,'All Schools Data view only'!A:EF,78,0)</f>
        <v>1653.4084724493132</v>
      </c>
      <c r="H28" s="191">
        <f>VLOOKUP(R$3,'All Schools Data view only'!A:EF,78,0)</f>
        <v>168.17123954989651</v>
      </c>
      <c r="I28" s="191">
        <f>VLOOKUP(S$3,'All Schools Data view only'!A:EF,78,0)</f>
        <v>16.338660713179063</v>
      </c>
      <c r="J28" s="191">
        <f>VLOOKUP(V$3,'All Schools Data view only'!A:EF,78,0)</f>
        <v>55.35597957881302</v>
      </c>
      <c r="K28" s="192">
        <f>VLOOKUP(T$3,'All Schools Data view only'!A:EF,78,0)</f>
        <v>183.58829323551626</v>
      </c>
      <c r="L28" s="192">
        <f>VLOOKUP(U$3,'All Schools Data view only'!A:EF,78,0)</f>
        <v>2414.9744563862928</v>
      </c>
    </row>
    <row r="29" spans="1:12" ht="15.75">
      <c r="A29" s="173"/>
      <c r="B29" s="179"/>
      <c r="C29" s="169"/>
      <c r="D29" s="169"/>
      <c r="E29" s="169"/>
      <c r="F29" s="169"/>
      <c r="G29" s="193"/>
      <c r="H29" s="194"/>
      <c r="I29" s="194"/>
      <c r="J29" s="195"/>
      <c r="K29" s="195"/>
      <c r="L29" s="195"/>
    </row>
    <row r="30" spans="1:12" ht="15.75">
      <c r="A30" s="173" t="s">
        <v>136</v>
      </c>
      <c r="B30" s="174" t="s">
        <v>9</v>
      </c>
      <c r="C30" s="175" t="str">
        <f>IF(ISERROR(VLOOKUP(C$2,'All Schools Data view only'!$A:$EF,79,0)),"",VLOOKUP(C$2,'All Schools Data view only'!$A:$EF,79,0))</f>
        <v/>
      </c>
      <c r="D30" s="175" t="str">
        <f>IF(ISERROR(VLOOKUP(D$2,'All Schools Data view only'!$A:$EF,79,0)),"",VLOOKUP(D$2,'All Schools Data view only'!$A:$EF,79,0))</f>
        <v/>
      </c>
      <c r="E30" s="175" t="str">
        <f>IF(ISERROR(VLOOKUP(E$2,'All Schools Data view only'!$A:$EF,79,0)),"",VLOOKUP(E$2,'All Schools Data view only'!$A:$EF,79,0))</f>
        <v/>
      </c>
      <c r="F30" s="175" t="str">
        <f>IF(ISERROR(VLOOKUP(F$2,'All Schools Data view only'!$A:$EF,79,0)),"",VLOOKUP(F$2,'All Schools Data view only'!$A:$EF,79,0))</f>
        <v/>
      </c>
      <c r="G30" s="187">
        <f>VLOOKUP(Q$3,'All Schools Data view only'!A:EF,79,0)</f>
        <v>2.2584143036554697E-4</v>
      </c>
      <c r="H30" s="188">
        <f>VLOOKUP(R$3,'All Schools Data view only'!A:EF,79,0)</f>
        <v>9.8577962973715096E-3</v>
      </c>
      <c r="I30" s="188">
        <f>VLOOKUP(S$3,'All Schools Data view only'!A:EF,79,0)</f>
        <v>1.701494871994624E-2</v>
      </c>
      <c r="J30" s="188">
        <f>VLOOKUP(V$3,'All Schools Data view only'!A:EF,79,0)</f>
        <v>1.2287836328457415E-3</v>
      </c>
      <c r="K30" s="189">
        <f>VLOOKUP(T$3,'All Schools Data view only'!A:EF,79,0)</f>
        <v>3.5533817902367324E-4</v>
      </c>
      <c r="L30" s="189">
        <f>VLOOKUP(U$3,'All Schools Data view only'!A:EF,79,0)</f>
        <v>0</v>
      </c>
    </row>
    <row r="31" spans="1:12" ht="15.75">
      <c r="A31" s="173"/>
      <c r="B31" s="179" t="s">
        <v>10</v>
      </c>
      <c r="C31" s="180" t="str">
        <f>IF(ISERROR(VLOOKUP(C$2,'All Schools Data view only'!$A:$EF,80,0)),"",VLOOKUP(C$2,'All Schools Data view only'!$A:$EF,80,0))</f>
        <v/>
      </c>
      <c r="D31" s="180" t="str">
        <f>IF(ISERROR(VLOOKUP(D$2,'All Schools Data view only'!$A:$EF,80,0)),"",VLOOKUP(D$2,'All Schools Data view only'!$A:$EF,80,0))</f>
        <v/>
      </c>
      <c r="E31" s="180" t="str">
        <f>IF(ISERROR(VLOOKUP(E$2,'All Schools Data view only'!$A:$EF,80,0)),"",VLOOKUP(E$2,'All Schools Data view only'!$A:$EF,80,0))</f>
        <v/>
      </c>
      <c r="F31" s="180" t="str">
        <f>IF(ISERROR(VLOOKUP(F$2,'All Schools Data view only'!$A:$EF,80,0)),"",VLOOKUP(F$2,'All Schools Data view only'!$A:$EF,80,0))</f>
        <v/>
      </c>
      <c r="G31" s="190">
        <f>VLOOKUP(Q$3,'All Schools Data view only'!A:EF,80,0)</f>
        <v>2.2561151079136694</v>
      </c>
      <c r="H31" s="191">
        <f>VLOOKUP(R$3,'All Schools Data view only'!A:EF,80,0)</f>
        <v>61.596097902148074</v>
      </c>
      <c r="I31" s="191">
        <f>VLOOKUP(S$3,'All Schools Data view only'!A:EF,80,0)</f>
        <v>160.67029638679924</v>
      </c>
      <c r="J31" s="191">
        <f>VLOOKUP(V$3,'All Schools Data view only'!A:EF,80,0)</f>
        <v>7.9493873643905557</v>
      </c>
      <c r="K31" s="192">
        <f>VLOOKUP(T$3,'All Schools Data view only'!A:EF,80,0)</f>
        <v>12.143558636314596</v>
      </c>
      <c r="L31" s="192">
        <f>VLOOKUP(U$3,'All Schools Data view only'!A:EF,80,0)</f>
        <v>0</v>
      </c>
    </row>
    <row r="32" spans="1:12" ht="15.75">
      <c r="A32" s="173"/>
      <c r="B32" s="179"/>
      <c r="C32" s="169"/>
      <c r="D32" s="169"/>
      <c r="E32" s="169"/>
      <c r="F32" s="169"/>
      <c r="G32" s="193"/>
      <c r="H32" s="194"/>
      <c r="I32" s="194"/>
      <c r="J32" s="195"/>
      <c r="K32" s="195"/>
      <c r="L32" s="195"/>
    </row>
    <row r="33" spans="1:12" ht="15.75">
      <c r="A33" s="173" t="s">
        <v>137</v>
      </c>
      <c r="B33" s="174" t="s">
        <v>9</v>
      </c>
      <c r="C33" s="175" t="str">
        <f>IF(ISERROR(VLOOKUP(C$2,'All Schools Data view only'!$A:$EF,81,0)),"",VLOOKUP(C$2,'All Schools Data view only'!$A:$EF,81,0))</f>
        <v/>
      </c>
      <c r="D33" s="175" t="str">
        <f>IF(ISERROR(VLOOKUP(D$2,'All Schools Data view only'!$A:$EF,81,0)),"",VLOOKUP(D$2,'All Schools Data view only'!$A:$EF,81,0))</f>
        <v/>
      </c>
      <c r="E33" s="175" t="str">
        <f>IF(ISERROR(VLOOKUP(E$2,'All Schools Data view only'!$A:$EF,81,0)),"",VLOOKUP(E$2,'All Schools Data view only'!$A:$EF,81,0))</f>
        <v/>
      </c>
      <c r="F33" s="175" t="str">
        <f>IF(ISERROR(VLOOKUP(F$2,'All Schools Data view only'!$A:$EF,81,0)),"",VLOOKUP(F$2,'All Schools Data view only'!$A:$EF,81,0))</f>
        <v/>
      </c>
      <c r="G33" s="187">
        <f>VLOOKUP(Q$3,'All Schools Data view only'!A:EF,81,0)</f>
        <v>7.7744648639470598E-3</v>
      </c>
      <c r="H33" s="188">
        <f>VLOOKUP(R$3,'All Schools Data view only'!A:EF,81,0)</f>
        <v>3.2968255306942904E-2</v>
      </c>
      <c r="I33" s="188">
        <f>VLOOKUP(S$3,'All Schools Data view only'!A:EF,81,0)</f>
        <v>5.701097725038775E-2</v>
      </c>
      <c r="J33" s="188">
        <f>VLOOKUP(V$3,'All Schools Data view only'!A:EF,81,0)</f>
        <v>1.0702343426731271E-3</v>
      </c>
      <c r="K33" s="189">
        <f>VLOOKUP(T$3,'All Schools Data view only'!A:EF,81,0)</f>
        <v>7.4598026997530181E-4</v>
      </c>
      <c r="L33" s="189">
        <f>VLOOKUP(U$3,'All Schools Data view only'!A:EF,81,0)</f>
        <v>0</v>
      </c>
    </row>
    <row r="34" spans="1:12" ht="15.75">
      <c r="A34" s="173"/>
      <c r="B34" s="179" t="s">
        <v>10</v>
      </c>
      <c r="C34" s="180" t="str">
        <f>IF(ISERROR(VLOOKUP(C$2,'All Schools Data view only'!$A:$EF,82,0)),"",VLOOKUP(C$2,'All Schools Data view only'!$A:$EF,82,0))</f>
        <v/>
      </c>
      <c r="D34" s="180" t="str">
        <f>IF(ISERROR(VLOOKUP(D$2,'All Schools Data view only'!$A:$EF,82,0)),"",VLOOKUP(D$2,'All Schools Data view only'!$A:$EF,82,0))</f>
        <v/>
      </c>
      <c r="E34" s="180" t="str">
        <f>IF(ISERROR(VLOOKUP(E$2,'All Schools Data view only'!$A:$EF,82,0)),"",VLOOKUP(E$2,'All Schools Data view only'!$A:$EF,82,0))</f>
        <v/>
      </c>
      <c r="F34" s="180" t="str">
        <f>IF(ISERROR(VLOOKUP(F$2,'All Schools Data view only'!$A:$EF,82,0)),"",VLOOKUP(F$2,'All Schools Data view only'!$A:$EF,82,0))</f>
        <v/>
      </c>
      <c r="G34" s="190">
        <f>VLOOKUP(Q$3,'All Schools Data view only'!A:EF,82,0)</f>
        <v>81.000580240353173</v>
      </c>
      <c r="H34" s="191">
        <f>VLOOKUP(R$3,'All Schools Data view only'!A:EF,82,0)</f>
        <v>233.89577278807363</v>
      </c>
      <c r="I34" s="191">
        <f>VLOOKUP(S$3,'All Schools Data view only'!A:EF,82,0)</f>
        <v>478.66660428289123</v>
      </c>
      <c r="J34" s="191">
        <f>VLOOKUP(V$3,'All Schools Data view only'!A:EF,82,0)</f>
        <v>6.9236821952776006</v>
      </c>
      <c r="K34" s="192">
        <f>VLOOKUP(T$3,'All Schools Data view only'!A:EF,82,0)</f>
        <v>25.45832810383477</v>
      </c>
      <c r="L34" s="192">
        <f>VLOOKUP(U$3,'All Schools Data view only'!A:EF,82,0)</f>
        <v>0</v>
      </c>
    </row>
    <row r="35" spans="1:12" ht="15.75">
      <c r="A35" s="173"/>
      <c r="B35" s="179"/>
      <c r="C35" s="169"/>
      <c r="D35" s="169"/>
      <c r="E35" s="169"/>
      <c r="F35" s="169"/>
      <c r="G35" s="193"/>
      <c r="H35" s="194"/>
      <c r="I35" s="194"/>
      <c r="J35" s="195"/>
      <c r="K35" s="195"/>
      <c r="L35" s="195"/>
    </row>
    <row r="36" spans="1:12" ht="15" customHeight="1">
      <c r="A36" s="167" t="s">
        <v>11</v>
      </c>
      <c r="B36" s="198"/>
      <c r="C36" s="169"/>
      <c r="D36" s="169"/>
      <c r="E36" s="169"/>
      <c r="F36" s="169"/>
      <c r="G36" s="193"/>
      <c r="H36" s="194"/>
      <c r="I36" s="194"/>
      <c r="J36" s="195"/>
      <c r="K36" s="195"/>
      <c r="L36" s="195"/>
    </row>
    <row r="37" spans="1:12" ht="15" customHeight="1">
      <c r="A37" s="199" t="s">
        <v>12</v>
      </c>
      <c r="B37" s="179" t="s">
        <v>13</v>
      </c>
      <c r="C37" s="175" t="str">
        <f>IF(ISERROR(VLOOKUP(C$2,'All Schools Data view only'!$A:$EF,83,0)),"",VLOOKUP(C$2,'All Schools Data view only'!$A:$EF,83,0))</f>
        <v/>
      </c>
      <c r="D37" s="175" t="str">
        <f>IF(ISERROR(VLOOKUP(D$2,'All Schools Data view only'!$A:$EF,83,0)),"",VLOOKUP(D$2,'All Schools Data view only'!$A:$EF,83,0))</f>
        <v/>
      </c>
      <c r="E37" s="175" t="str">
        <f>IF(ISERROR(VLOOKUP(E$2,'All Schools Data view only'!$A:$EF,83,0)),"",VLOOKUP(E$2,'All Schools Data view only'!$A:$EF,83,0))</f>
        <v/>
      </c>
      <c r="F37" s="175" t="str">
        <f>IF(ISERROR(VLOOKUP(F$2,'All Schools Data view only'!$A:$EF,83,0)),"",VLOOKUP(F$2,'All Schools Data view only'!$A:$EF,83,0))</f>
        <v/>
      </c>
      <c r="G37" s="187">
        <f>VLOOKUP(Q$3,'All Schools Data view only'!A:EF,83,0)</f>
        <v>0.22713829455187573</v>
      </c>
      <c r="H37" s="188">
        <f>VLOOKUP(R$3,'All Schools Data view only'!A:EF,83,0)</f>
        <v>0.59980516353742941</v>
      </c>
      <c r="I37" s="188">
        <f>VLOOKUP(S$3,'All Schools Data view only'!A:EF,83,0)</f>
        <v>0.70244523067121911</v>
      </c>
      <c r="J37" s="188">
        <f>VLOOKUP(V$3,'All Schools Data view only'!A:EF,83,0)</f>
        <v>0.63009766722270777</v>
      </c>
      <c r="K37" s="189">
        <f>VLOOKUP(T$3,'All Schools Data view only'!A:EF,83,0)</f>
        <v>0.39950543983568948</v>
      </c>
      <c r="L37" s="189">
        <f>VLOOKUP(U$3,'All Schools Data view only'!A:EF,83,0)</f>
        <v>0.81292740658393281</v>
      </c>
    </row>
    <row r="38" spans="1:12" ht="15" customHeight="1">
      <c r="A38" s="199"/>
      <c r="B38" s="179" t="s">
        <v>401</v>
      </c>
      <c r="C38" s="175" t="str">
        <f>IF(ISERROR(VLOOKUP(C$2,'All Schools Data view only'!$A:$EF,84,0)),"",VLOOKUP(C$2,'All Schools Data view only'!$A:$EF,84,0))</f>
        <v/>
      </c>
      <c r="D38" s="175" t="str">
        <f>IF(ISERROR(VLOOKUP(D$2,'All Schools Data view only'!$A:$EF,84,0)),"",VLOOKUP(D$2,'All Schools Data view only'!$A:$EF,84,0))</f>
        <v/>
      </c>
      <c r="E38" s="175" t="str">
        <f>IF(ISERROR(VLOOKUP(E$2,'All Schools Data view only'!$A:$EF,84,0)),"",VLOOKUP(E$2,'All Schools Data view only'!$A:$EF,84,0))</f>
        <v/>
      </c>
      <c r="F38" s="175" t="str">
        <f>IF(ISERROR(VLOOKUP(F$2,'All Schools Data view only'!$A:$EF,84,0)),"",VLOOKUP(F$2,'All Schools Data view only'!$A:$EF,84,0))</f>
        <v/>
      </c>
      <c r="G38" s="187">
        <f>VLOOKUP(Q$3,'All Schools Data view only'!A:EF,84,0)</f>
        <v>0.14202449128635364</v>
      </c>
      <c r="H38" s="188">
        <f>VLOOKUP(R$3,'All Schools Data view only'!A:EF,84,0)</f>
        <v>0.49108021677169722</v>
      </c>
      <c r="I38" s="188">
        <f>VLOOKUP(S$3,'All Schools Data view only'!A:EF,84,0)</f>
        <v>0.59628159659984681</v>
      </c>
      <c r="J38" s="188">
        <f>VLOOKUP(V$3,'All Schools Data view only'!A:EF,84,0)</f>
        <v>0.55917145073458729</v>
      </c>
      <c r="K38" s="189">
        <f>VLOOKUP(T$3,'All Schools Data view only'!A:EF,84,0)</f>
        <v>0.36008650007725668</v>
      </c>
      <c r="L38" s="189">
        <f>VLOOKUP(U$3,'All Schools Data view only'!A:EF,84,0)</f>
        <v>0.66698775630554197</v>
      </c>
    </row>
    <row r="39" spans="1:12" ht="15" customHeight="1">
      <c r="A39" s="199"/>
      <c r="B39" s="179" t="s">
        <v>14</v>
      </c>
      <c r="C39" s="175" t="str">
        <f>IF(ISERROR(VLOOKUP(C$2,'All Schools Data view only'!$A:$EF,85,0)),"",VLOOKUP(C$2,'All Schools Data view only'!$A:$EF,85,0))</f>
        <v/>
      </c>
      <c r="D39" s="175" t="str">
        <f>IF(ISERROR(VLOOKUP(D$2,'All Schools Data view only'!$A:$EF,85,0)),"",VLOOKUP(D$2,'All Schools Data view only'!$A:$EF,85,0))</f>
        <v/>
      </c>
      <c r="E39" s="175" t="str">
        <f>IF(ISERROR(VLOOKUP(E$2,'All Schools Data view only'!$A:$EF,85,0)),"",VLOOKUP(E$2,'All Schools Data view only'!$A:$EF,85,0))</f>
        <v/>
      </c>
      <c r="F39" s="175" t="str">
        <f>IF(ISERROR(VLOOKUP(F$2,'All Schools Data view only'!$A:$EF,85,0)),"",VLOOKUP(F$2,'All Schools Data view only'!$A:$EF,85,0))</f>
        <v/>
      </c>
      <c r="G39" s="187">
        <f>VLOOKUP(Q$3,'All Schools Data view only'!A:EF,85,0)</f>
        <v>0.13007991068790653</v>
      </c>
      <c r="H39" s="188">
        <f>VLOOKUP(R$3,'All Schools Data view only'!A:EF,85,0)</f>
        <v>0.48440498643039909</v>
      </c>
      <c r="I39" s="188">
        <f>VLOOKUP(S$3,'All Schools Data view only'!A:EF,85,0)</f>
        <v>0.60832176059946896</v>
      </c>
      <c r="J39" s="188">
        <f>VLOOKUP(V$3,'All Schools Data view only'!A:EF,85,0)</f>
        <v>0.57250838139704885</v>
      </c>
      <c r="K39" s="189">
        <f>VLOOKUP(T$3,'All Schools Data view only'!A:EF,85,0)</f>
        <v>0.36930346587902579</v>
      </c>
      <c r="L39" s="189">
        <f>VLOOKUP(U$3,'All Schools Data view only'!A:EF,85,0)</f>
        <v>0.68853635774245525</v>
      </c>
    </row>
    <row r="40" spans="1:12" ht="15" customHeight="1">
      <c r="A40" s="199"/>
      <c r="B40" s="179" t="s">
        <v>15</v>
      </c>
      <c r="C40" s="180" t="str">
        <f>IF(ISERROR(VLOOKUP(C$2,'All Schools Data view only'!$A:$EF,86,0)),"",VLOOKUP(C$2,'All Schools Data view only'!$A:$EF,86,0))</f>
        <v/>
      </c>
      <c r="D40" s="180" t="str">
        <f>IF(ISERROR(VLOOKUP(D$2,'All Schools Data view only'!$A:$EF,86,0)),"",VLOOKUP(D$2,'All Schools Data view only'!$A:$EF,86,0))</f>
        <v/>
      </c>
      <c r="E40" s="180" t="str">
        <f>IF(ISERROR(VLOOKUP(E$2,'All Schools Data view only'!$A:$EF,86,0)),"",VLOOKUP(E$2,'All Schools Data view only'!$A:$EF,86,0))</f>
        <v/>
      </c>
      <c r="F40" s="180" t="str">
        <f>IF(ISERROR(VLOOKUP(F$2,'All Schools Data view only'!$A:$EF,86,0)),"",VLOOKUP(F$2,'All Schools Data view only'!$A:$EF,86,0))</f>
        <v/>
      </c>
      <c r="G40" s="190">
        <f>VLOOKUP(Q$3,'All Schools Data view only'!A:EF,86,0)</f>
        <v>1529.1105776855788</v>
      </c>
      <c r="H40" s="191">
        <f>VLOOKUP(R$3,'All Schools Data view only'!A:EF,86,0)</f>
        <v>3126.0307225712913</v>
      </c>
      <c r="I40" s="191">
        <f>VLOOKUP(S$3,'All Schools Data view only'!A:EF,86,0)</f>
        <v>4495.060142644722</v>
      </c>
      <c r="J40" s="191">
        <f>VLOOKUP(V$3,'All Schools Data view only'!A:EF,86,0)</f>
        <v>3617.4557881301853</v>
      </c>
      <c r="K40" s="191">
        <f>VLOOKUP(T$3,'All Schools Data view only'!A:EF,86,0)</f>
        <v>11447.735170760359</v>
      </c>
      <c r="L40" s="192">
        <f>VLOOKUP(U$3,'All Schools Data view only'!A:EF,86,0)</f>
        <v>16593.99866199377</v>
      </c>
    </row>
    <row r="41" spans="1:12" ht="15" customHeight="1">
      <c r="A41" s="199"/>
      <c r="B41" s="198"/>
      <c r="C41" s="200"/>
      <c r="D41" s="200"/>
      <c r="E41" s="200"/>
      <c r="F41" s="200"/>
      <c r="G41" s="201"/>
      <c r="H41" s="202"/>
      <c r="I41" s="202"/>
      <c r="J41" s="203"/>
      <c r="K41" s="203"/>
      <c r="L41" s="203"/>
    </row>
    <row r="42" spans="1:12" ht="15" customHeight="1">
      <c r="A42" s="197" t="s">
        <v>16</v>
      </c>
      <c r="B42" s="179" t="s">
        <v>13</v>
      </c>
      <c r="C42" s="175" t="str">
        <f>IF(ISERROR(VLOOKUP(C$2,'All Schools Data view only'!$A:$EF,87,0)),"",VLOOKUP(C$2,'All Schools Data view only'!$A:$EF,87,0))</f>
        <v/>
      </c>
      <c r="D42" s="175" t="str">
        <f>IF(ISERROR(VLOOKUP(D$2,'All Schools Data view only'!$A:$EF,87,0)),"",VLOOKUP(D$2,'All Schools Data view only'!$A:$EF,87,0))</f>
        <v/>
      </c>
      <c r="E42" s="175" t="str">
        <f>IF(ISERROR(VLOOKUP(E$2,'All Schools Data view only'!$A:$EF,87,0)),"",VLOOKUP(E$2,'All Schools Data view only'!$A:$EF,87,0))</f>
        <v/>
      </c>
      <c r="F42" s="175" t="str">
        <f>IF(ISERROR(VLOOKUP(F$2,'All Schools Data view only'!$A:$EF,87,0)),"",VLOOKUP(F$2,'All Schools Data view only'!$A:$EF,87,0))</f>
        <v/>
      </c>
      <c r="G42" s="187">
        <f>VLOOKUP(Q$3,'All Schools Data view only'!A:EF,87,0)</f>
        <v>0.41486474615664337</v>
      </c>
      <c r="H42" s="188">
        <f>VLOOKUP(R$3,'All Schools Data view only'!A:EF,87,0)</f>
        <v>0.24023293650684813</v>
      </c>
      <c r="I42" s="188">
        <f>VLOOKUP(S$3,'All Schools Data view only'!A:EF,87,0)</f>
        <v>0.11038136511592923</v>
      </c>
      <c r="J42" s="188">
        <f>VLOOKUP(V$3,'All Schools Data view only'!A:EF,87,0)</f>
        <v>0.12245885933540399</v>
      </c>
      <c r="K42" s="189">
        <f>VLOOKUP(T$3,'All Schools Data view only'!A:EF,87,0)</f>
        <v>0.39669167492692953</v>
      </c>
      <c r="L42" s="189">
        <f>VLOOKUP(U$3,'All Schools Data view only'!A:EF,87,0)</f>
        <v>8.167511846292197E-2</v>
      </c>
    </row>
    <row r="43" spans="1:12" ht="15" customHeight="1">
      <c r="A43" s="199"/>
      <c r="B43" s="179" t="s">
        <v>401</v>
      </c>
      <c r="C43" s="175" t="str">
        <f>IF(ISERROR(VLOOKUP(C$2,'All Schools Data view only'!$A:$EF,88,0)),"",VLOOKUP(C$2,'All Schools Data view only'!$A:$EF,88,0))</f>
        <v/>
      </c>
      <c r="D43" s="175" t="str">
        <f>IF(ISERROR(VLOOKUP(D$2,'All Schools Data view only'!$A:$EF,88,0)),"",VLOOKUP(D$2,'All Schools Data view only'!$A:$EF,88,0))</f>
        <v/>
      </c>
      <c r="E43" s="175" t="str">
        <f>IF(ISERROR(VLOOKUP(E$2,'All Schools Data view only'!$A:$EF,88,0)),"",VLOOKUP(E$2,'All Schools Data view only'!$A:$EF,88,0))</f>
        <v/>
      </c>
      <c r="F43" s="175" t="str">
        <f>IF(ISERROR(VLOOKUP(F$2,'All Schools Data view only'!$A:$EF,88,0)),"",VLOOKUP(F$2,'All Schools Data view only'!$A:$EF,88,0))</f>
        <v/>
      </c>
      <c r="G43" s="187">
        <f>VLOOKUP(Q$3,'All Schools Data view only'!A:EF,88,0)</f>
        <v>0.24382185730408662</v>
      </c>
      <c r="H43" s="188">
        <f>VLOOKUP(R$3,'All Schools Data view only'!A:EF,88,0)</f>
        <v>0.19539561357795454</v>
      </c>
      <c r="I43" s="188">
        <f>VLOOKUP(S$3,'All Schools Data view only'!A:EF,88,0)</f>
        <v>9.3290821112442315E-2</v>
      </c>
      <c r="J43" s="188">
        <f>VLOOKUP(V$3,'All Schools Data view only'!A:EF,88,0)</f>
        <v>0.10867441920821772</v>
      </c>
      <c r="K43" s="189">
        <f>VLOOKUP(T$3,'All Schools Data view only'!A:EF,88,0)</f>
        <v>0.35851317253018228</v>
      </c>
      <c r="L43" s="189">
        <f>VLOOKUP(U$3,'All Schools Data view only'!A:EF,88,0)</f>
        <v>6.9592183343439071E-2</v>
      </c>
    </row>
    <row r="44" spans="1:12" ht="15" customHeight="1">
      <c r="A44" s="199"/>
      <c r="B44" s="179" t="s">
        <v>14</v>
      </c>
      <c r="C44" s="175" t="str">
        <f>IF(ISERROR(VLOOKUP(C$2,'All Schools Data view only'!$A:$EF,89,0)),"",VLOOKUP(C$2,'All Schools Data view only'!$A:$EF,89,0))</f>
        <v/>
      </c>
      <c r="D44" s="175" t="str">
        <f>IF(ISERROR(VLOOKUP(D$2,'All Schools Data view only'!$A:$EF,89,0)),"",VLOOKUP(D$2,'All Schools Data view only'!$A:$EF,89,0))</f>
        <v/>
      </c>
      <c r="E44" s="175" t="str">
        <f>IF(ISERROR(VLOOKUP(E$2,'All Schools Data view only'!$A:$EF,89,0)),"",VLOOKUP(E$2,'All Schools Data view only'!$A:$EF,89,0))</f>
        <v/>
      </c>
      <c r="F44" s="175" t="str">
        <f>IF(ISERROR(VLOOKUP(F$2,'All Schools Data view only'!$A:$EF,89,0)),"",VLOOKUP(F$2,'All Schools Data view only'!$A:$EF,89,0))</f>
        <v/>
      </c>
      <c r="G44" s="187">
        <f>VLOOKUP(Q$3,'All Schools Data view only'!A:EF,89,0)</f>
        <v>0.23009395475613215</v>
      </c>
      <c r="H44" s="188">
        <f>VLOOKUP(R$3,'All Schools Data view only'!A:EF,89,0)</f>
        <v>0.19284826237167177</v>
      </c>
      <c r="I44" s="188">
        <f>VLOOKUP(S$3,'All Schools Data view only'!A:EF,89,0)</f>
        <v>9.4399949502572966E-2</v>
      </c>
      <c r="J44" s="188">
        <f>VLOOKUP(V$3,'All Schools Data view only'!A:EF,89,0)</f>
        <v>0.11126643851081125</v>
      </c>
      <c r="K44" s="189">
        <f>VLOOKUP(T$3,'All Schools Data view only'!A:EF,89,0)</f>
        <v>0.36894272763428226</v>
      </c>
      <c r="L44" s="189">
        <f>VLOOKUP(U$3,'All Schools Data view only'!A:EF,89,0)</f>
        <v>7.377278385854287E-2</v>
      </c>
    </row>
    <row r="45" spans="1:12" ht="15" customHeight="1">
      <c r="A45" s="199"/>
      <c r="B45" s="179" t="s">
        <v>15</v>
      </c>
      <c r="C45" s="180" t="str">
        <f>IF(ISERROR(VLOOKUP(C$2,'All Schools Data view only'!$A:$EF,90,0)),"",VLOOKUP(C$2,'All Schools Data view only'!$A:$EF,90,0))</f>
        <v/>
      </c>
      <c r="D45" s="180" t="str">
        <f>IF(ISERROR(VLOOKUP(D$2,'All Schools Data view only'!$A:$EF,90,0)),"",VLOOKUP(D$2,'All Schools Data view only'!$A:$EF,90,0))</f>
        <v/>
      </c>
      <c r="E45" s="180" t="str">
        <f>IF(ISERROR(VLOOKUP(E$2,'All Schools Data view only'!$A:$EF,90,0)),"",VLOOKUP(E$2,'All Schools Data view only'!$A:$EF,90,0))</f>
        <v/>
      </c>
      <c r="F45" s="180" t="str">
        <f>IF(ISERROR(VLOOKUP(F$2,'All Schools Data view only'!$A:$EF,90,0)),"",VLOOKUP(F$2,'All Schools Data view only'!$A:$EF,90,0))</f>
        <v/>
      </c>
      <c r="G45" s="190">
        <f>VLOOKUP(Q$3,'All Schools Data view only'!A:EF,90,0)</f>
        <v>2777.1396102436233</v>
      </c>
      <c r="H45" s="191">
        <f>VLOOKUP(R$3,'All Schools Data view only'!A:EF,90,0)</f>
        <v>1269.5905310476746</v>
      </c>
      <c r="I45" s="191">
        <f>VLOOKUP(S$3,'All Schools Data view only'!A:EF,90,0)</f>
        <v>742.96240358804118</v>
      </c>
      <c r="J45" s="191">
        <f>VLOOKUP(V$3,'All Schools Data view only'!A:EF,90,0)</f>
        <v>703.04895979578816</v>
      </c>
      <c r="K45" s="192">
        <f>VLOOKUP(T$3,'All Schools Data view only'!A:EF,90,0)</f>
        <v>11497.640835461096</v>
      </c>
      <c r="L45" s="192">
        <f>VLOOKUP(U$3,'All Schools Data view only'!A:EF,90,0)</f>
        <v>1872.0176137071651</v>
      </c>
    </row>
    <row r="46" spans="1:12" ht="15" customHeight="1">
      <c r="A46" s="199"/>
      <c r="B46" s="198"/>
      <c r="C46" s="200"/>
      <c r="D46" s="200"/>
      <c r="E46" s="200"/>
      <c r="F46" s="200"/>
      <c r="G46" s="201"/>
      <c r="H46" s="202"/>
      <c r="I46" s="202"/>
      <c r="J46" s="203"/>
      <c r="K46" s="203"/>
      <c r="L46" s="203"/>
    </row>
    <row r="47" spans="1:12" ht="15" customHeight="1">
      <c r="A47" s="199" t="s">
        <v>17</v>
      </c>
      <c r="B47" s="179" t="s">
        <v>13</v>
      </c>
      <c r="C47" s="175" t="str">
        <f>IF(ISERROR(VLOOKUP(C$2,'All Schools Data view only'!$A:$EF,91,0)),"",VLOOKUP(C$2,'All Schools Data view only'!$A:$EF,91,0))</f>
        <v/>
      </c>
      <c r="D47" s="175" t="str">
        <f>IF(ISERROR(VLOOKUP(D$2,'All Schools Data view only'!$A:$EF,91,0)),"",VLOOKUP(D$2,'All Schools Data view only'!$A:$EF,91,0))</f>
        <v/>
      </c>
      <c r="E47" s="175" t="str">
        <f>IF(ISERROR(VLOOKUP(E$2,'All Schools Data view only'!$A:$EF,91,0)),"",VLOOKUP(E$2,'All Schools Data view only'!$A:$EF,91,0))</f>
        <v/>
      </c>
      <c r="F47" s="175" t="str">
        <f>IF(ISERROR(VLOOKUP(F$2,'All Schools Data view only'!$A:$EF,91,0)),"",VLOOKUP(F$2,'All Schools Data view only'!$A:$EF,91,0))</f>
        <v/>
      </c>
      <c r="G47" s="187">
        <f>VLOOKUP(Q$3,'All Schools Data view only'!A:EF,91,0)</f>
        <v>2.9416703592773322E-2</v>
      </c>
      <c r="H47" s="188">
        <f>VLOOKUP(R$3,'All Schools Data view only'!A:EF,91,0)</f>
        <v>2.9707915791798326E-2</v>
      </c>
      <c r="I47" s="188">
        <f>VLOOKUP(S$3,'All Schools Data view only'!A:EF,91,0)</f>
        <v>1.703397195471959E-2</v>
      </c>
      <c r="J47" s="188">
        <f>VLOOKUP(V$3,'All Schools Data view only'!A:EF,91,0)</f>
        <v>2.3901520455247599E-2</v>
      </c>
      <c r="K47" s="189">
        <f>VLOOKUP(T$3,'All Schools Data view only'!A:EF,91,0)</f>
        <v>1.8306540967860756E-2</v>
      </c>
      <c r="L47" s="189">
        <f>VLOOKUP(U$3,'All Schools Data view only'!A:EF,91,0)</f>
        <v>5.786891239228948E-3</v>
      </c>
    </row>
    <row r="48" spans="1:12" ht="15" customHeight="1">
      <c r="A48" s="199"/>
      <c r="B48" s="179" t="s">
        <v>401</v>
      </c>
      <c r="C48" s="175" t="str">
        <f>IF(ISERROR(VLOOKUP(C$2,'All Schools Data view only'!$A:$EF,92,0)),"",VLOOKUP(C$2,'All Schools Data view only'!$A:$EF,92,0))</f>
        <v/>
      </c>
      <c r="D48" s="175" t="str">
        <f>IF(ISERROR(VLOOKUP(D$2,'All Schools Data view only'!$A:$EF,92,0)),"",VLOOKUP(D$2,'All Schools Data view only'!$A:$EF,92,0))</f>
        <v/>
      </c>
      <c r="E48" s="175" t="str">
        <f>IF(ISERROR(VLOOKUP(E$2,'All Schools Data view only'!$A:$EF,92,0)),"",VLOOKUP(E$2,'All Schools Data view only'!$A:$EF,92,0))</f>
        <v/>
      </c>
      <c r="F48" s="175" t="str">
        <f>IF(ISERROR(VLOOKUP(F$2,'All Schools Data view only'!$A:$EF,92,0)),"",VLOOKUP(F$2,'All Schools Data view only'!$A:$EF,92,0))</f>
        <v/>
      </c>
      <c r="G48" s="187">
        <f>VLOOKUP(Q$3,'All Schools Data view only'!A:EF,92,0)</f>
        <v>1.8513877195849085E-2</v>
      </c>
      <c r="H48" s="188">
        <f>VLOOKUP(R$3,'All Schools Data view only'!A:EF,92,0)</f>
        <v>2.4573976778418348E-2</v>
      </c>
      <c r="I48" s="188">
        <f>VLOOKUP(S$3,'All Schools Data view only'!A:EF,92,0)</f>
        <v>1.44851030002265E-2</v>
      </c>
      <c r="J48" s="188">
        <f>VLOOKUP(V$3,'All Schools Data view only'!A:EF,92,0)</f>
        <v>2.1211073398561466E-2</v>
      </c>
      <c r="K48" s="189">
        <f>VLOOKUP(T$3,'All Schools Data view only'!A:EF,92,0)</f>
        <v>1.6922833916526273E-2</v>
      </c>
      <c r="L48" s="189">
        <f>VLOOKUP(U$3,'All Schools Data view only'!A:EF,92,0)</f>
        <v>5.1541398426499761E-3</v>
      </c>
    </row>
    <row r="49" spans="1:12" ht="15" customHeight="1">
      <c r="A49" s="199"/>
      <c r="B49" s="179" t="s">
        <v>14</v>
      </c>
      <c r="C49" s="175" t="str">
        <f>IF(ISERROR(VLOOKUP(C$2,'All Schools Data view only'!$A:$EF,93,0)),"",VLOOKUP(C$2,'All Schools Data view only'!$A:$EF,93,0))</f>
        <v/>
      </c>
      <c r="D49" s="175" t="str">
        <f>IF(ISERROR(VLOOKUP(D$2,'All Schools Data view only'!$A:$EF,93,0)),"",VLOOKUP(D$2,'All Schools Data view only'!$A:$EF,93,0))</f>
        <v/>
      </c>
      <c r="E49" s="175" t="str">
        <f>IF(ISERROR(VLOOKUP(E$2,'All Schools Data view only'!$A:$EF,93,0)),"",VLOOKUP(E$2,'All Schools Data view only'!$A:$EF,93,0))</f>
        <v/>
      </c>
      <c r="F49" s="175" t="str">
        <f>IF(ISERROR(VLOOKUP(F$2,'All Schools Data view only'!$A:$EF,93,0)),"",VLOOKUP(F$2,'All Schools Data view only'!$A:$EF,93,0))</f>
        <v/>
      </c>
      <c r="G49" s="187">
        <f>VLOOKUP(Q$3,'All Schools Data view only'!A:EF,93,0)</f>
        <v>1.6904507231340071E-2</v>
      </c>
      <c r="H49" s="188">
        <f>VLOOKUP(R$3,'All Schools Data view only'!A:EF,93,0)</f>
        <v>2.4218777980356231E-2</v>
      </c>
      <c r="I49" s="188">
        <f>VLOOKUP(S$3,'All Schools Data view only'!A:EF,93,0)</f>
        <v>1.478197085588126E-2</v>
      </c>
      <c r="J49" s="188">
        <f>VLOOKUP(V$3,'All Schools Data view only'!A:EF,93,0)</f>
        <v>2.1716983732183403E-2</v>
      </c>
      <c r="K49" s="189">
        <f>VLOOKUP(T$3,'All Schools Data view only'!A:EF,93,0)</f>
        <v>1.7751742433059332E-2</v>
      </c>
      <c r="L49" s="189">
        <f>VLOOKUP(U$3,'All Schools Data view only'!A:EF,93,0)</f>
        <v>5.6248627292154454E-3</v>
      </c>
    </row>
    <row r="50" spans="1:12" ht="15" customHeight="1">
      <c r="A50" s="199"/>
      <c r="B50" s="179" t="s">
        <v>15</v>
      </c>
      <c r="C50" s="180" t="str">
        <f>IF(ISERROR(VLOOKUP(C$2,'All Schools Data view only'!$A:$EF,94,0)),"",VLOOKUP(C$2,'All Schools Data view only'!$A:$EF,94,0))</f>
        <v/>
      </c>
      <c r="D50" s="180" t="str">
        <f>IF(ISERROR(VLOOKUP(D$2,'All Schools Data view only'!$A:$EF,94,0)),"",VLOOKUP(D$2,'All Schools Data view only'!$A:$EF,94,0))</f>
        <v/>
      </c>
      <c r="E50" s="180" t="str">
        <f>IF(ISERROR(VLOOKUP(E$2,'All Schools Data view only'!$A:$EF,94,0)),"",VLOOKUP(E$2,'All Schools Data view only'!$A:$EF,94,0))</f>
        <v/>
      </c>
      <c r="F50" s="180" t="str">
        <f>IF(ISERROR(VLOOKUP(F$2,'All Schools Data view only'!$A:$EF,94,0)),"",VLOOKUP(F$2,'All Schools Data view only'!$A:$EF,94,0))</f>
        <v/>
      </c>
      <c r="G50" s="190">
        <f>VLOOKUP(Q$3,'All Schools Data view only'!A:EF,94,0)</f>
        <v>198.15688409499674</v>
      </c>
      <c r="H50" s="191">
        <f>VLOOKUP(R$3,'All Schools Data view only'!A:EF,94,0)</f>
        <v>156.86125849234838</v>
      </c>
      <c r="I50" s="191">
        <f>VLOOKUP(S$3,'All Schools Data view only'!A:EF,94,0)</f>
        <v>108.83220486467786</v>
      </c>
      <c r="J50" s="191">
        <f>VLOOKUP(V$3,'All Schools Data view only'!A:EF,94,0)</f>
        <v>137.22109763880025</v>
      </c>
      <c r="K50" s="192">
        <f>VLOOKUP(T$3,'All Schools Data view only'!A:EF,94,0)</f>
        <v>567.67883746298889</v>
      </c>
      <c r="L50" s="192">
        <f>VLOOKUP(U$3,'All Schools Data view only'!A:EF,94,0)</f>
        <v>150.37046728971961</v>
      </c>
    </row>
    <row r="51" spans="1:12" ht="15" customHeight="1">
      <c r="A51" s="199"/>
      <c r="B51" s="198"/>
      <c r="C51" s="200"/>
      <c r="D51" s="200"/>
      <c r="E51" s="200"/>
      <c r="F51" s="200"/>
      <c r="G51" s="201"/>
      <c r="H51" s="202"/>
      <c r="I51" s="202"/>
      <c r="J51" s="203"/>
      <c r="K51" s="203"/>
      <c r="L51" s="203"/>
    </row>
    <row r="52" spans="1:12" ht="15" customHeight="1">
      <c r="A52" s="199" t="s">
        <v>18</v>
      </c>
      <c r="B52" s="179" t="s">
        <v>13</v>
      </c>
      <c r="C52" s="175" t="str">
        <f>IF(ISERROR(VLOOKUP(C$2,'All Schools Data view only'!$A:$EF,95,0)),"",VLOOKUP(C$2,'All Schools Data view only'!$A:$EF,95,0))</f>
        <v/>
      </c>
      <c r="D52" s="175" t="str">
        <f>IF(ISERROR(VLOOKUP(D$2,'All Schools Data view only'!$A:$EF,95,0)),"",VLOOKUP(D$2,'All Schools Data view only'!$A:$EF,95,0))</f>
        <v/>
      </c>
      <c r="E52" s="175" t="str">
        <f>IF(ISERROR(VLOOKUP(E$2,'All Schools Data view only'!$A:$EF,95,0)),"",VLOOKUP(E$2,'All Schools Data view only'!$A:$EF,95,0))</f>
        <v/>
      </c>
      <c r="F52" s="175" t="str">
        <f>IF(ISERROR(VLOOKUP(F$2,'All Schools Data view only'!$A:$EF,95,0)),"",VLOOKUP(F$2,'All Schools Data view only'!$A:$EF,95,0))</f>
        <v/>
      </c>
      <c r="G52" s="187">
        <f>VLOOKUP(Q$3,'All Schools Data view only'!A:EF,95,0)</f>
        <v>5.517220557494365E-2</v>
      </c>
      <c r="H52" s="188">
        <f>VLOOKUP(R$3,'All Schools Data view only'!A:EF,95,0)</f>
        <v>5.4092677638896178E-2</v>
      </c>
      <c r="I52" s="188">
        <f>VLOOKUP(S$3,'All Schools Data view only'!A:EF,95,0)</f>
        <v>7.7989477208132638E-2</v>
      </c>
      <c r="J52" s="188">
        <f>VLOOKUP(V$3,'All Schools Data view only'!A:EF,95,0)</f>
        <v>7.5175054711466474E-2</v>
      </c>
      <c r="K52" s="189">
        <f>VLOOKUP(T$3,'All Schools Data view only'!A:EF,95,0)</f>
        <v>3.9264905746455643E-2</v>
      </c>
      <c r="L52" s="189">
        <f>VLOOKUP(U$3,'All Schools Data view only'!A:EF,95,0)</f>
        <v>4.8749173362652373E-2</v>
      </c>
    </row>
    <row r="53" spans="1:12" ht="15" customHeight="1">
      <c r="A53" s="199"/>
      <c r="B53" s="179" t="s">
        <v>401</v>
      </c>
      <c r="C53" s="175" t="str">
        <f>IF(ISERROR(VLOOKUP(C$2,'All Schools Data view only'!$A:$EF,96,0)),"",VLOOKUP(C$2,'All Schools Data view only'!$A:$EF,96,0))</f>
        <v/>
      </c>
      <c r="D53" s="175" t="str">
        <f>IF(ISERROR(VLOOKUP(D$2,'All Schools Data view only'!$A:$EF,96,0)),"",VLOOKUP(D$2,'All Schools Data view only'!$A:$EF,96,0))</f>
        <v/>
      </c>
      <c r="E53" s="175" t="str">
        <f>IF(ISERROR(VLOOKUP(E$2,'All Schools Data view only'!$A:$EF,96,0)),"",VLOOKUP(E$2,'All Schools Data view only'!$A:$EF,96,0))</f>
        <v/>
      </c>
      <c r="F53" s="175" t="str">
        <f>IF(ISERROR(VLOOKUP(F$2,'All Schools Data view only'!$A:$EF,96,0)),"",VLOOKUP(F$2,'All Schools Data view only'!$A:$EF,96,0))</f>
        <v/>
      </c>
      <c r="G53" s="187">
        <f>VLOOKUP(Q$3,'All Schools Data view only'!A:EF,96,0)</f>
        <v>3.5004736294718286E-2</v>
      </c>
      <c r="H53" s="188">
        <f>VLOOKUP(R$3,'All Schools Data view only'!A:EF,96,0)</f>
        <v>4.3894740507931282E-2</v>
      </c>
      <c r="I53" s="188">
        <f>VLOOKUP(S$3,'All Schools Data view only'!A:EF,96,0)</f>
        <v>6.6077109252800484E-2</v>
      </c>
      <c r="J53" s="188">
        <f>VLOOKUP(V$3,'All Schools Data view only'!A:EF,96,0)</f>
        <v>6.6713061464493822E-2</v>
      </c>
      <c r="K53" s="189">
        <f>VLOOKUP(T$3,'All Schools Data view only'!A:EF,96,0)</f>
        <v>3.604337281208455E-2</v>
      </c>
      <c r="L53" s="189">
        <f>VLOOKUP(U$3,'All Schools Data view only'!A:EF,96,0)</f>
        <v>3.8799133830146035E-2</v>
      </c>
    </row>
    <row r="54" spans="1:12" ht="15" customHeight="1">
      <c r="A54" s="199"/>
      <c r="B54" s="179" t="s">
        <v>14</v>
      </c>
      <c r="C54" s="175" t="str">
        <f>IF(ISERROR(VLOOKUP(C$2,'All Schools Data view only'!$A:$EF,97,0)),"",VLOOKUP(C$2,'All Schools Data view only'!$A:$EF,97,0))</f>
        <v/>
      </c>
      <c r="D54" s="175" t="str">
        <f>IF(ISERROR(VLOOKUP(D$2,'All Schools Data view only'!$A:$EF,97,0)),"",VLOOKUP(D$2,'All Schools Data view only'!$A:$EF,97,0))</f>
        <v/>
      </c>
      <c r="E54" s="175" t="str">
        <f>IF(ISERROR(VLOOKUP(E$2,'All Schools Data view only'!$A:$EF,97,0)),"",VLOOKUP(E$2,'All Schools Data view only'!$A:$EF,97,0))</f>
        <v/>
      </c>
      <c r="F54" s="175" t="str">
        <f>IF(ISERROR(VLOOKUP(F$2,'All Schools Data view only'!$A:$EF,97,0)),"",VLOOKUP(F$2,'All Schools Data view only'!$A:$EF,97,0))</f>
        <v/>
      </c>
      <c r="G54" s="187">
        <f>VLOOKUP(Q$3,'All Schools Data view only'!A:EF,97,0)</f>
        <v>3.184033331751765E-2</v>
      </c>
      <c r="H54" s="188">
        <f>VLOOKUP(R$3,'All Schools Data view only'!A:EF,97,0)</f>
        <v>4.3326233429807653E-2</v>
      </c>
      <c r="I54" s="188">
        <f>VLOOKUP(S$3,'All Schools Data view only'!A:EF,97,0)</f>
        <v>6.7343351421901218E-2</v>
      </c>
      <c r="J54" s="188">
        <f>VLOOKUP(V$3,'All Schools Data view only'!A:EF,97,0)</f>
        <v>6.8304250488653809E-2</v>
      </c>
      <c r="K54" s="189">
        <f>VLOOKUP(T$3,'All Schools Data view only'!A:EF,97,0)</f>
        <v>3.6687509239953016E-2</v>
      </c>
      <c r="L54" s="189">
        <f>VLOOKUP(U$3,'All Schools Data view only'!A:EF,97,0)</f>
        <v>3.9154980151155032E-2</v>
      </c>
    </row>
    <row r="55" spans="1:12" ht="15" customHeight="1">
      <c r="A55" s="199"/>
      <c r="B55" s="179" t="s">
        <v>15</v>
      </c>
      <c r="C55" s="180" t="str">
        <f>IF(ISERROR(VLOOKUP(C$2,'All Schools Data view only'!$A:$EF,98,0)),"",VLOOKUP(C$2,'All Schools Data view only'!$A:$EF,98,0))</f>
        <v/>
      </c>
      <c r="D55" s="180" t="str">
        <f>IF(ISERROR(VLOOKUP(D$2,'All Schools Data view only'!$A:$EF,98,0)),"",VLOOKUP(D$2,'All Schools Data view only'!$A:$EF,98,0))</f>
        <v/>
      </c>
      <c r="E55" s="180" t="str">
        <f>IF(ISERROR(VLOOKUP(E$2,'All Schools Data view only'!$A:$EF,98,0)),"",VLOOKUP(E$2,'All Schools Data view only'!$A:$EF,98,0))</f>
        <v/>
      </c>
      <c r="F55" s="180" t="str">
        <f>IF(ISERROR(VLOOKUP(F$2,'All Schools Data view only'!$A:$EF,98,0)),"",VLOOKUP(F$2,'All Schools Data view only'!$A:$EF,98,0))</f>
        <v/>
      </c>
      <c r="G55" s="190">
        <f>VLOOKUP(Q$3,'All Schools Data view only'!A:EF,98,0)</f>
        <v>371.93553905739043</v>
      </c>
      <c r="H55" s="191">
        <f>VLOOKUP(R$3,'All Schools Data view only'!A:EF,98,0)</f>
        <v>279.78771607006058</v>
      </c>
      <c r="I55" s="191">
        <f>VLOOKUP(S$3,'All Schools Data view only'!A:EF,98,0)</f>
        <v>501.50852150463629</v>
      </c>
      <c r="J55" s="191">
        <f>VLOOKUP(V$3,'All Schools Data view only'!A:EF,98,0)</f>
        <v>431.58775366943206</v>
      </c>
      <c r="K55" s="192">
        <f>VLOOKUP(T$3,'All Schools Data view only'!A:EF,98,0)</f>
        <v>1109.8509236133589</v>
      </c>
      <c r="L55" s="192">
        <f>VLOOKUP(U$3,'All Schools Data view only'!A:EF,98,0)</f>
        <v>899.95204205607479</v>
      </c>
    </row>
    <row r="56" spans="1:12" ht="15" customHeight="1">
      <c r="A56" s="199"/>
      <c r="B56" s="198"/>
      <c r="C56" s="200"/>
      <c r="D56" s="200"/>
      <c r="E56" s="200"/>
      <c r="F56" s="200"/>
      <c r="G56" s="201"/>
      <c r="H56" s="202"/>
      <c r="I56" s="202"/>
      <c r="J56" s="203"/>
      <c r="K56" s="203"/>
      <c r="L56" s="203"/>
    </row>
    <row r="57" spans="1:12" ht="15" customHeight="1">
      <c r="A57" s="204" t="s">
        <v>19</v>
      </c>
      <c r="B57" s="179" t="s">
        <v>13</v>
      </c>
      <c r="C57" s="175" t="str">
        <f>IF(ISERROR(VLOOKUP(C$2,'All Schools Data view only'!$A:$EF,99,0)),"",VLOOKUP(C$2,'All Schools Data view only'!$A:$EF,99,0))</f>
        <v/>
      </c>
      <c r="D57" s="175" t="str">
        <f>IF(ISERROR(VLOOKUP(D$2,'All Schools Data view only'!$A:$EF,99,0)),"",VLOOKUP(D$2,'All Schools Data view only'!$A:$EF,99,0))</f>
        <v/>
      </c>
      <c r="E57" s="175" t="str">
        <f>IF(ISERROR(VLOOKUP(E$2,'All Schools Data view only'!$A:$EF,99,0)),"",VLOOKUP(E$2,'All Schools Data view only'!$A:$EF,99,0))</f>
        <v/>
      </c>
      <c r="F57" s="175" t="str">
        <f>IF(ISERROR(VLOOKUP(F$2,'All Schools Data view only'!$A:$EF,99,0)),"",VLOOKUP(F$2,'All Schools Data view only'!$A:$EF,99,0))</f>
        <v/>
      </c>
      <c r="G57" s="187">
        <f>VLOOKUP(Q$3,'All Schools Data view only'!A:EF,99,0)</f>
        <v>0.75645203653193405</v>
      </c>
      <c r="H57" s="188">
        <f>VLOOKUP(R$3,'All Schools Data view only'!A:EF,99,0)</f>
        <v>0.92970287539104857</v>
      </c>
      <c r="I57" s="188">
        <f>VLOOKUP(S$3,'All Schools Data view only'!A:EF,99,0)</f>
        <v>0.90643746333813635</v>
      </c>
      <c r="J57" s="188">
        <f>VLOOKUP(V$3,'All Schools Data view only'!A:EF,99,0)</f>
        <v>0.81378573168928059</v>
      </c>
      <c r="K57" s="189">
        <f>VLOOKUP(T$3,'All Schools Data view only'!A:EF,99,0)</f>
        <v>0.86938007020380559</v>
      </c>
      <c r="L57" s="189">
        <f>VLOOKUP(U$3,'All Schools Data view only'!A:EF,99,0)</f>
        <v>0.91907809166941923</v>
      </c>
    </row>
    <row r="58" spans="1:12" ht="15" customHeight="1">
      <c r="A58" s="199"/>
      <c r="B58" s="179" t="s">
        <v>401</v>
      </c>
      <c r="C58" s="175" t="str">
        <f>IF(ISERROR(VLOOKUP(C$2,'All Schools Data view only'!$A:$EF,100,0)),"",VLOOKUP(C$2,'All Schools Data view only'!$A:$EF,100,0))</f>
        <v/>
      </c>
      <c r="D58" s="175" t="str">
        <f>IF(ISERROR(VLOOKUP(D$2,'All Schools Data view only'!$A:$EF,100,0)),"",VLOOKUP(D$2,'All Schools Data view only'!$A:$EF,100,0))</f>
        <v/>
      </c>
      <c r="E58" s="175" t="str">
        <f>IF(ISERROR(VLOOKUP(E$2,'All Schools Data view only'!$A:$EF,100,0)),"",VLOOKUP(E$2,'All Schools Data view only'!$A:$EF,100,0))</f>
        <v/>
      </c>
      <c r="F58" s="175" t="str">
        <f>IF(ISERROR(VLOOKUP(F$2,'All Schools Data view only'!$A:$EF,100,0)),"",VLOOKUP(F$2,'All Schools Data view only'!$A:$EF,100,0))</f>
        <v/>
      </c>
      <c r="G58" s="187">
        <f>VLOOKUP(Q$3,'All Schools Data view only'!A:EF,100,0)</f>
        <v>0.45758791483544925</v>
      </c>
      <c r="H58" s="188">
        <f>VLOOKUP(R$3,'All Schools Data view only'!A:EF,100,0)</f>
        <v>0.75985011049812534</v>
      </c>
      <c r="I58" s="188">
        <f>VLOOKUP(S$3,'All Schools Data view only'!A:EF,100,0)</f>
        <v>0.76904651570540394</v>
      </c>
      <c r="J58" s="188">
        <f>VLOOKUP(V$3,'All Schools Data view only'!A:EF,100,0)</f>
        <v>0.72218288028507627</v>
      </c>
      <c r="K58" s="189">
        <f>VLOOKUP(T$3,'All Schools Data view only'!A:EF,100,0)</f>
        <v>0.78532876313639954</v>
      </c>
      <c r="L58" s="189">
        <f>VLOOKUP(U$3,'All Schools Data view only'!A:EF,100,0)</f>
        <v>0.75421243119320713</v>
      </c>
    </row>
    <row r="59" spans="1:12" ht="15" customHeight="1">
      <c r="A59" s="199"/>
      <c r="B59" s="179" t="s">
        <v>14</v>
      </c>
      <c r="C59" s="175" t="str">
        <f>IF(ISERROR(VLOOKUP(C$2,'All Schools Data view only'!$A:$EF,101,0)),"",VLOOKUP(C$2,'All Schools Data view only'!$A:$EF,101,0))</f>
        <v/>
      </c>
      <c r="D59" s="175" t="str">
        <f>IF(ISERROR(VLOOKUP(D$2,'All Schools Data view only'!$A:$EF,101,0)),"",VLOOKUP(D$2,'All Schools Data view only'!$A:$EF,101,0))</f>
        <v/>
      </c>
      <c r="E59" s="175" t="str">
        <f>IF(ISERROR(VLOOKUP(E$2,'All Schools Data view only'!$A:$EF,101,0)),"",VLOOKUP(E$2,'All Schools Data view only'!$A:$EF,101,0))</f>
        <v/>
      </c>
      <c r="F59" s="175" t="str">
        <f>IF(ISERROR(VLOOKUP(F$2,'All Schools Data view only'!$A:$EF,101,0)),"",VLOOKUP(F$2,'All Schools Data view only'!$A:$EF,101,0))</f>
        <v/>
      </c>
      <c r="G59" s="187">
        <f>VLOOKUP(Q$3,'All Schools Data view only'!A:EF,101,0)</f>
        <v>0.42580387459690355</v>
      </c>
      <c r="H59" s="188">
        <f>VLOOKUP(R$3,'All Schools Data view only'!A:EF,101,0)</f>
        <v>0.74958897429426286</v>
      </c>
      <c r="I59" s="188">
        <f>VLOOKUP(S$3,'All Schools Data view only'!A:EF,101,0)</f>
        <v>0.78392636210638011</v>
      </c>
      <c r="J59" s="188">
        <f>VLOOKUP(V$3,'All Schools Data view only'!A:EF,101,0)</f>
        <v>0.73940783514878694</v>
      </c>
      <c r="K59" s="189">
        <f>VLOOKUP(T$3,'All Schools Data view only'!A:EF,101,0)</f>
        <v>0.80716157768579144</v>
      </c>
      <c r="L59" s="189">
        <f>VLOOKUP(U$3,'All Schools Data view only'!A:EF,101,0)</f>
        <v>0.77867681055084681</v>
      </c>
    </row>
    <row r="60" spans="1:12" ht="15" customHeight="1">
      <c r="A60" s="199"/>
      <c r="B60" s="179" t="s">
        <v>15</v>
      </c>
      <c r="C60" s="180" t="str">
        <f>IF(ISERROR(VLOOKUP(C$2,'All Schools Data view only'!$A:$EF,102,0)),"",VLOOKUP(C$2,'All Schools Data view only'!$A:$EF,102,0))</f>
        <v/>
      </c>
      <c r="D60" s="180" t="str">
        <f>IF(ISERROR(VLOOKUP(D$2,'All Schools Data view only'!$A:$EF,102,0)),"",VLOOKUP(D$2,'All Schools Data view only'!$A:$EF,102,0))</f>
        <v/>
      </c>
      <c r="E60" s="180" t="str">
        <f>IF(ISERROR(VLOOKUP(E$2,'All Schools Data view only'!$A:$EF,102,0)),"",VLOOKUP(E$2,'All Schools Data view only'!$A:$EF,102,0))</f>
        <v/>
      </c>
      <c r="F60" s="180" t="str">
        <f>IF(ISERROR(VLOOKUP(F$2,'All Schools Data view only'!$A:$EF,102,0)),"",VLOOKUP(F$2,'All Schools Data view only'!$A:$EF,102,0))</f>
        <v/>
      </c>
      <c r="G60" s="190">
        <f>VLOOKUP(Q$3,'All Schools Data view only'!A:EF,102,0)</f>
        <v>5076.9098551953903</v>
      </c>
      <c r="H60" s="191">
        <f>VLOOKUP(R$3,'All Schools Data view only'!A:EF,102,0)</f>
        <v>4864.5905358164428</v>
      </c>
      <c r="I60" s="191">
        <f>VLOOKUP(S$3,'All Schools Data view only'!A:EF,102,0)</f>
        <v>5833.8093327788301</v>
      </c>
      <c r="J60" s="191">
        <f>VLOOKUP(V$3,'All Schools Data view only'!A:EF,102,0)</f>
        <v>4672.027938736439</v>
      </c>
      <c r="K60" s="192">
        <f>VLOOKUP(T$3,'All Schools Data view only'!A:EF,102,0)</f>
        <v>25098.577115744236</v>
      </c>
      <c r="L60" s="192">
        <f>VLOOKUP(U$3,'All Schools Data view only'!A:EF,102,0)</f>
        <v>18771.179289719625</v>
      </c>
    </row>
    <row r="61" spans="1:12" ht="15" customHeight="1">
      <c r="A61" s="199"/>
      <c r="B61" s="179"/>
      <c r="C61" s="180"/>
      <c r="D61" s="180"/>
      <c r="E61" s="180"/>
      <c r="F61" s="180"/>
      <c r="G61" s="205"/>
      <c r="H61" s="206"/>
      <c r="I61" s="206"/>
      <c r="J61" s="207"/>
      <c r="K61" s="207"/>
      <c r="L61" s="207"/>
    </row>
    <row r="62" spans="1:12" ht="15" customHeight="1">
      <c r="A62" s="199" t="s">
        <v>20</v>
      </c>
      <c r="B62" s="179" t="s">
        <v>13</v>
      </c>
      <c r="C62" s="175" t="str">
        <f>IF(ISERROR(VLOOKUP(C$2,'All Schools Data view only'!$A:$EF,103,0)),"",VLOOKUP(C$2,'All Schools Data view only'!$A:$EF,103,0))</f>
        <v/>
      </c>
      <c r="D62" s="175" t="str">
        <f>IF(ISERROR(VLOOKUP(D$2,'All Schools Data view only'!$A:$EF,103,0)),"",VLOOKUP(D$2,'All Schools Data view only'!$A:$EF,103,0))</f>
        <v/>
      </c>
      <c r="E62" s="175" t="str">
        <f>IF(ISERROR(VLOOKUP(E$2,'All Schools Data view only'!$A:$EF,103,0)),"",VLOOKUP(E$2,'All Schools Data view only'!$A:$EF,103,0))</f>
        <v/>
      </c>
      <c r="F62" s="175" t="str">
        <f>IF(ISERROR(VLOOKUP(F$2,'All Schools Data view only'!$A:$EF,103,0)),"",VLOOKUP(F$2,'All Schools Data view only'!$A:$EF,103,0))</f>
        <v/>
      </c>
      <c r="G62" s="187">
        <f>VLOOKUP(Q$3,'All Schools Data view only'!A:EF,103,0)</f>
        <v>4.4646745742056102E-3</v>
      </c>
      <c r="H62" s="188">
        <f>VLOOKUP(R$3,'All Schools Data view only'!A:EF,103,0)</f>
        <v>1.3379344326096606E-2</v>
      </c>
      <c r="I62" s="188">
        <f>VLOOKUP(S$3,'All Schools Data view only'!A:EF,103,0)</f>
        <v>2.7593910138279418E-2</v>
      </c>
      <c r="J62" s="188">
        <f>VLOOKUP(V$3,'All Schools Data view only'!A:EF,103,0)</f>
        <v>6.4478477748126668E-3</v>
      </c>
      <c r="K62" s="189">
        <f>VLOOKUP(T$3,'All Schools Data view only'!A:EF,103,0)</f>
        <v>2.697108071361241E-2</v>
      </c>
      <c r="L62" s="189">
        <f>VLOOKUP(U$3,'All Schools Data view only'!A:EF,103,0)</f>
        <v>9.6064757846973433E-3</v>
      </c>
    </row>
    <row r="63" spans="1:12" ht="15" customHeight="1">
      <c r="A63" s="199"/>
      <c r="B63" s="179" t="s">
        <v>14</v>
      </c>
      <c r="C63" s="175" t="str">
        <f>IF(ISERROR(VLOOKUP(C$2,'All Schools Data view only'!$A:$EF,104,0)),"",VLOOKUP(C$2,'All Schools Data view only'!$A:$EF,104,0))</f>
        <v/>
      </c>
      <c r="D63" s="175" t="str">
        <f>IF(ISERROR(VLOOKUP(D$2,'All Schools Data view only'!$A:$EF,104,0)),"",VLOOKUP(D$2,'All Schools Data view only'!$A:$EF,104,0))</f>
        <v/>
      </c>
      <c r="E63" s="175" t="str">
        <f>IF(ISERROR(VLOOKUP(E$2,'All Schools Data view only'!$A:$EF,104,0)),"",VLOOKUP(E$2,'All Schools Data view only'!$A:$EF,104,0))</f>
        <v/>
      </c>
      <c r="F63" s="175" t="str">
        <f>IF(ISERROR(VLOOKUP(F$2,'All Schools Data view only'!$A:$EF,104,0)),"",VLOOKUP(F$2,'All Schools Data view only'!$A:$EF,104,0))</f>
        <v/>
      </c>
      <c r="G63" s="187">
        <f>VLOOKUP(Q$3,'All Schools Data view only'!A:EF,104,0)</f>
        <v>2.44549853456649E-3</v>
      </c>
      <c r="H63" s="188">
        <f>VLOOKUP(R$3,'All Schools Data view only'!A:EF,104,0)</f>
        <v>1.0732173827375045E-2</v>
      </c>
      <c r="I63" s="188">
        <f>VLOOKUP(S$3,'All Schools Data view only'!A:EF,104,0)</f>
        <v>2.2698599957072189E-2</v>
      </c>
      <c r="J63" s="188">
        <f>VLOOKUP(V$3,'All Schools Data view only'!A:EF,104,0)</f>
        <v>5.8585312802750351E-3</v>
      </c>
      <c r="K63" s="189">
        <f>VLOOKUP(T$3,'All Schools Data view only'!A:EF,104,0)</f>
        <v>2.4992018953976358E-2</v>
      </c>
      <c r="L63" s="189">
        <f>VLOOKUP(U$3,'All Schools Data view only'!A:EF,104,0)</f>
        <v>7.3731084945159349E-3</v>
      </c>
    </row>
    <row r="64" spans="1:12" ht="15" customHeight="1">
      <c r="A64" s="199"/>
      <c r="B64" s="179" t="s">
        <v>15</v>
      </c>
      <c r="C64" s="180" t="str">
        <f>IF(ISERROR(VLOOKUP(C$2,'All Schools Data view only'!$A:$EF,105,0)),"",VLOOKUP(C$2,'All Schools Data view only'!$A:$EF,105,0))</f>
        <v/>
      </c>
      <c r="D64" s="180" t="str">
        <f>IF(ISERROR(VLOOKUP(D$2,'All Schools Data view only'!$A:$EF,105,0)),"",VLOOKUP(D$2,'All Schools Data view only'!$A:$EF,105,0))</f>
        <v/>
      </c>
      <c r="E64" s="180" t="str">
        <f>IF(ISERROR(VLOOKUP(E$2,'All Schools Data view only'!$A:$EF,105,0)),"",VLOOKUP(E$2,'All Schools Data view only'!$A:$EF,105,0))</f>
        <v/>
      </c>
      <c r="F64" s="180" t="str">
        <f>IF(ISERROR(VLOOKUP(F$2,'All Schools Data view only'!$A:$EF,105,0)),"",VLOOKUP(F$2,'All Schools Data view only'!$A:$EF,105,0))</f>
        <v/>
      </c>
      <c r="G64" s="190">
        <f>VLOOKUP(Q$3,'All Schools Data view only'!A:EF,105,0)</f>
        <v>29.822325662197514</v>
      </c>
      <c r="H64" s="191">
        <f>VLOOKUP(R$3,'All Schools Data view only'!A:EF,105,0)</f>
        <v>70.349035695590359</v>
      </c>
      <c r="I64" s="191">
        <f>VLOOKUP(S$3,'All Schools Data view only'!A:EF,105,0)</f>
        <v>170.08505464553301</v>
      </c>
      <c r="J64" s="191">
        <f>VLOOKUP(V$3,'All Schools Data view only'!A:EF,105,0)</f>
        <v>37.017760051052967</v>
      </c>
      <c r="K64" s="192">
        <f>VLOOKUP(T$3,'All Schools Data view only'!A:EF,105,0)</f>
        <v>731.24710766773353</v>
      </c>
      <c r="L64" s="192">
        <f>VLOOKUP(U$3,'All Schools Data view only'!A:EF,105,0)</f>
        <v>162.06777881619936</v>
      </c>
    </row>
    <row r="65" spans="1:12" ht="15" customHeight="1">
      <c r="A65" s="199"/>
      <c r="B65" s="179"/>
      <c r="C65" s="200"/>
      <c r="D65" s="200"/>
      <c r="E65" s="200"/>
      <c r="F65" s="200"/>
      <c r="G65" s="201"/>
      <c r="H65" s="202"/>
      <c r="I65" s="202"/>
      <c r="J65" s="203"/>
      <c r="K65" s="203"/>
      <c r="L65" s="203"/>
    </row>
    <row r="66" spans="1:12" ht="15" customHeight="1">
      <c r="A66" s="199" t="s">
        <v>21</v>
      </c>
      <c r="B66" s="179" t="s">
        <v>14</v>
      </c>
      <c r="C66" s="175" t="str">
        <f>IF(ISERROR(VLOOKUP(C$2,'All Schools Data view only'!$A:$EF,106,0)),"",VLOOKUP(C$2,'All Schools Data view only'!$A:$EF,106,0))</f>
        <v/>
      </c>
      <c r="D66" s="175" t="str">
        <f>IF(ISERROR(VLOOKUP(D$2,'All Schools Data view only'!$A:$EF,106,0)),"",VLOOKUP(D$2,'All Schools Data view only'!$A:$EF,106,0))</f>
        <v/>
      </c>
      <c r="E66" s="175" t="str">
        <f>IF(ISERROR(VLOOKUP(E$2,'All Schools Data view only'!$A:$EF,106,0)),"",VLOOKUP(E$2,'All Schools Data view only'!$A:$EF,106,0))</f>
        <v/>
      </c>
      <c r="F66" s="175" t="str">
        <f>IF(ISERROR(VLOOKUP(F$2,'All Schools Data view only'!$A:$EF,106,0)),"",VLOOKUP(F$2,'All Schools Data view only'!$A:$EF,106,0))</f>
        <v/>
      </c>
      <c r="G66" s="187">
        <f>VLOOKUP(Q$3,'All Schools Data view only'!A:EF,106,0)</f>
        <v>7.3242089790038145E-4</v>
      </c>
      <c r="H66" s="188">
        <f>VLOOKUP(R$3,'All Schools Data view only'!A:EF,106,0)</f>
        <v>2.1959164626461254E-3</v>
      </c>
      <c r="I66" s="188">
        <f>VLOOKUP(S$3,'All Schools Data view only'!A:EF,106,0)</f>
        <v>1.7074941674054187E-3</v>
      </c>
      <c r="J66" s="188">
        <f>VLOOKUP(V$3,'All Schools Data view only'!A:EF,106,0)</f>
        <v>2.9727131493154039E-3</v>
      </c>
      <c r="K66" s="189">
        <f>VLOOKUP(T$3,'All Schools Data view only'!A:EF,106,0)</f>
        <v>7.8870952147252051E-4</v>
      </c>
      <c r="L66" s="189">
        <f>VLOOKUP(U$3,'All Schools Data view only'!A:EF,106,0)</f>
        <v>1.9041233106571249E-4</v>
      </c>
    </row>
    <row r="67" spans="1:12" ht="15" customHeight="1">
      <c r="A67" s="199"/>
      <c r="B67" s="179" t="s">
        <v>15</v>
      </c>
      <c r="C67" s="180" t="str">
        <f>IF(ISERROR(VLOOKUP(C$2,'All Schools Data view only'!$A:$EF,107,0)),"",VLOOKUP(C$2,'All Schools Data view only'!$A:$EF,107,0))</f>
        <v/>
      </c>
      <c r="D67" s="180" t="str">
        <f>IF(ISERROR(VLOOKUP(D$2,'All Schools Data view only'!$A:$EF,107,0)),"",VLOOKUP(D$2,'All Schools Data view only'!$A:$EF,107,0))</f>
        <v/>
      </c>
      <c r="E67" s="180" t="str">
        <f>IF(ISERROR(VLOOKUP(E$2,'All Schools Data view only'!$A:$EF,107,0)),"",VLOOKUP(E$2,'All Schools Data view only'!$A:$EF,107,0))</f>
        <v/>
      </c>
      <c r="F67" s="180" t="str">
        <f>IF(ISERROR(VLOOKUP(F$2,'All Schools Data view only'!$A:$EF,107,0)),"",VLOOKUP(F$2,'All Schools Data view only'!$A:$EF,107,0))</f>
        <v/>
      </c>
      <c r="G67" s="190">
        <f>VLOOKUP(Q$3,'All Schools Data view only'!A:EF,107,0)</f>
        <v>8.6332151324395028</v>
      </c>
      <c r="H67" s="191">
        <f>VLOOKUP(R$3,'All Schools Data view only'!A:EF,107,0)</f>
        <v>14.203228167409861</v>
      </c>
      <c r="I67" s="191">
        <f>VLOOKUP(S$3,'All Schools Data view only'!A:EF,107,0)</f>
        <v>11.786778528411388</v>
      </c>
      <c r="J67" s="191">
        <f>VLOOKUP(V$3,'All Schools Data view only'!A:EF,107,0)</f>
        <v>18.783407785577534</v>
      </c>
      <c r="K67" s="192">
        <f>VLOOKUP(T$3,'All Schools Data view only'!A:EF,107,0)</f>
        <v>26.169238770813106</v>
      </c>
      <c r="L67" s="192">
        <f>VLOOKUP(U$3,'All Schools Data view only'!A:EF,107,0)</f>
        <v>5.0903271028037382</v>
      </c>
    </row>
    <row r="68" spans="1:12" ht="15" customHeight="1">
      <c r="A68" s="199"/>
      <c r="B68" s="179"/>
      <c r="C68" s="200"/>
      <c r="D68" s="200"/>
      <c r="E68" s="200"/>
      <c r="F68" s="200"/>
      <c r="G68" s="201"/>
      <c r="H68" s="202"/>
      <c r="I68" s="202"/>
      <c r="J68" s="203"/>
      <c r="K68" s="203"/>
      <c r="L68" s="203"/>
    </row>
    <row r="69" spans="1:12" ht="15" customHeight="1">
      <c r="A69" s="199" t="s">
        <v>22</v>
      </c>
      <c r="B69" s="179" t="s">
        <v>13</v>
      </c>
      <c r="C69" s="175" t="str">
        <f>IF(ISERROR(VLOOKUP(C$2,'All Schools Data view only'!$A:$EF,108,0)),"",VLOOKUP(C$2,'All Schools Data view only'!$A:$EF,108,0))</f>
        <v/>
      </c>
      <c r="D69" s="175" t="str">
        <f>IF(ISERROR(VLOOKUP(D$2,'All Schools Data view only'!$A:$EF,108,0)),"",VLOOKUP(D$2,'All Schools Data view only'!$A:$EF,108,0))</f>
        <v/>
      </c>
      <c r="E69" s="175" t="str">
        <f>IF(ISERROR(VLOOKUP(E$2,'All Schools Data view only'!$A:$EF,108,0)),"",VLOOKUP(E$2,'All Schools Data view only'!$A:$EF,108,0))</f>
        <v/>
      </c>
      <c r="F69" s="175" t="str">
        <f>IF(ISERROR(VLOOKUP(F$2,'All Schools Data view only'!$A:$EF,108,0)),"",VLOOKUP(F$2,'All Schools Data view only'!$A:$EF,108,0))</f>
        <v/>
      </c>
      <c r="G69" s="187">
        <f>VLOOKUP(Q$3,'All Schools Data view only'!A:EF,108,0)</f>
        <v>7.8467972167520026E-3</v>
      </c>
      <c r="H69" s="188">
        <f>VLOOKUP(R$3,'All Schools Data view only'!A:EF,108,0)</f>
        <v>1.6738271535683358E-2</v>
      </c>
      <c r="I69" s="188">
        <f>VLOOKUP(S$3,'All Schools Data view only'!A:EF,108,0)</f>
        <v>1.6323037161895492E-2</v>
      </c>
      <c r="J69" s="188">
        <f>VLOOKUP(V$3,'All Schools Data view only'!A:EF,108,0)</f>
        <v>1.4146462968531811E-2</v>
      </c>
      <c r="K69" s="189">
        <f>VLOOKUP(T$3,'All Schools Data view only'!A:EF,108,0)</f>
        <v>1.136725700752611E-2</v>
      </c>
      <c r="L69" s="189">
        <f>VLOOKUP(U$3,'All Schools Data view only'!A:EF,108,0)</f>
        <v>3.2286630208268295E-3</v>
      </c>
    </row>
    <row r="70" spans="1:12" ht="15" customHeight="1">
      <c r="A70" s="199"/>
      <c r="B70" s="179" t="s">
        <v>14</v>
      </c>
      <c r="C70" s="175" t="str">
        <f>IF(ISERROR(VLOOKUP(C$2,'All Schools Data view only'!$A:$EF,109,0)),"",VLOOKUP(C$2,'All Schools Data view only'!$A:$EF,109,0))</f>
        <v/>
      </c>
      <c r="D70" s="175" t="str">
        <f>IF(ISERROR(VLOOKUP(D$2,'All Schools Data view only'!$A:$EF,109,0)),"",VLOOKUP(D$2,'All Schools Data view only'!$A:$EF,109,0))</f>
        <v/>
      </c>
      <c r="E70" s="175" t="str">
        <f>IF(ISERROR(VLOOKUP(E$2,'All Schools Data view only'!$A:$EF,109,0)),"",VLOOKUP(E$2,'All Schools Data view only'!$A:$EF,109,0))</f>
        <v/>
      </c>
      <c r="F70" s="175" t="str">
        <f>IF(ISERROR(VLOOKUP(F$2,'All Schools Data view only'!$A:$EF,109,0)),"",VLOOKUP(F$2,'All Schools Data view only'!$A:$EF,109,0))</f>
        <v/>
      </c>
      <c r="G70" s="187">
        <f>VLOOKUP(Q$3,'All Schools Data view only'!A:EF,109,0)</f>
        <v>4.4247009993435681E-3</v>
      </c>
      <c r="H70" s="188">
        <f>VLOOKUP(R$3,'All Schools Data view only'!A:EF,109,0)</f>
        <v>1.353801625311596E-2</v>
      </c>
      <c r="I70" s="188">
        <f>VLOOKUP(S$3,'All Schools Data view only'!A:EF,109,0)</f>
        <v>1.4439037894545871E-2</v>
      </c>
      <c r="J70" s="188">
        <f>VLOOKUP(V$3,'All Schools Data view only'!A:EF,109,0)</f>
        <v>1.2853513094732441E-2</v>
      </c>
      <c r="K70" s="189">
        <f>VLOOKUP(T$3,'All Schools Data view only'!A:EF,109,0)</f>
        <v>1.041823402899531E-2</v>
      </c>
      <c r="L70" s="189">
        <f>VLOOKUP(U$3,'All Schools Data view only'!A:EF,109,0)</f>
        <v>3.1382629360535113E-3</v>
      </c>
    </row>
    <row r="71" spans="1:12" ht="15" customHeight="1">
      <c r="A71" s="199"/>
      <c r="B71" s="179" t="s">
        <v>15</v>
      </c>
      <c r="C71" s="180" t="str">
        <f>IF(ISERROR(VLOOKUP(C$2,'All Schools Data view only'!$A:$EF,110,0)),"",VLOOKUP(C$2,'All Schools Data view only'!$A:$EF,110,0))</f>
        <v/>
      </c>
      <c r="D71" s="180" t="str">
        <f>IF(ISERROR(VLOOKUP(D$2,'All Schools Data view only'!$A:$EF,110,0)),"",VLOOKUP(D$2,'All Schools Data view only'!$A:$EF,110,0))</f>
        <v/>
      </c>
      <c r="E71" s="180" t="str">
        <f>IF(ISERROR(VLOOKUP(E$2,'All Schools Data view only'!$A:$EF,110,0)),"",VLOOKUP(E$2,'All Schools Data view only'!$A:$EF,110,0))</f>
        <v/>
      </c>
      <c r="F71" s="180" t="str">
        <f>IF(ISERROR(VLOOKUP(F$2,'All Schools Data view only'!$A:$EF,110,0)),"",VLOOKUP(F$2,'All Schools Data view only'!$A:$EF,110,0))</f>
        <v/>
      </c>
      <c r="G71" s="190">
        <f>VLOOKUP(Q$3,'All Schools Data view only'!A:EF,110,0)</f>
        <v>52.679928670699809</v>
      </c>
      <c r="H71" s="191">
        <f>VLOOKUP(R$3,'All Schools Data view only'!A:EF,110,0)</f>
        <v>87.150753153506457</v>
      </c>
      <c r="I71" s="191">
        <f>VLOOKUP(S$3,'All Schools Data view only'!A:EF,110,0)</f>
        <v>106.65684759992179</v>
      </c>
      <c r="J71" s="191">
        <f>VLOOKUP(V$3,'All Schools Data view only'!A:EF,110,0)</f>
        <v>81.216305041480538</v>
      </c>
      <c r="K71" s="192">
        <f>VLOOKUP(T$3,'All Schools Data view only'!A:EF,110,0)</f>
        <v>308.00974483343521</v>
      </c>
      <c r="L71" s="192">
        <f>VLOOKUP(U$3,'All Schools Data view only'!A:EF,110,0)</f>
        <v>83.89574766355139</v>
      </c>
    </row>
    <row r="72" spans="1:12" ht="15" customHeight="1">
      <c r="A72" s="199"/>
      <c r="B72" s="179"/>
      <c r="C72" s="180"/>
      <c r="D72" s="180"/>
      <c r="E72" s="180"/>
      <c r="F72" s="180"/>
      <c r="G72" s="190"/>
      <c r="H72" s="191"/>
      <c r="I72" s="191"/>
      <c r="J72" s="192"/>
      <c r="K72" s="192"/>
      <c r="L72" s="192"/>
    </row>
    <row r="73" spans="1:12" s="5" customFormat="1" ht="15" customHeight="1">
      <c r="A73" s="208" t="s">
        <v>544</v>
      </c>
      <c r="B73" s="209" t="s">
        <v>14</v>
      </c>
      <c r="C73" s="210" t="str">
        <f>IF(ISERROR(VLOOKUP(C$2,'All Schools Data view only'!$A:$EF,126,0)),"",VLOOKUP(C$2,'All Schools Data view only'!$A:$EF,126,0))</f>
        <v/>
      </c>
      <c r="D73" s="210" t="str">
        <f>IF(ISERROR(VLOOKUP(D$2,'All Schools Data view only'!$A:$EF,126,0)),"",VLOOKUP(D$2,'All Schools Data view only'!$A:$EF,126,0))</f>
        <v/>
      </c>
      <c r="E73" s="210" t="str">
        <f>IF(ISERROR(VLOOKUP(E$2,'All Schools Data view only'!$A:$EF,126,0)),"",VLOOKUP(E$2,'All Schools Data view only'!$A:$EF,126,0))</f>
        <v/>
      </c>
      <c r="F73" s="210" t="str">
        <f>IF(ISERROR(VLOOKUP(F$2,'All Schools Data view only'!$A:$EF,126,0)),"",VLOOKUP(F$2,'All Schools Data view only'!$A:$EF,126,0))</f>
        <v/>
      </c>
      <c r="G73" s="187">
        <f>VLOOKUP(Q$3,'All Schools Data view only'!A:EF,126,0)</f>
        <v>1.5274329380471135E-3</v>
      </c>
      <c r="H73" s="188">
        <f>VLOOKUP(R$3,'All Schools Data view only'!A:EF,126,0)</f>
        <v>1.3106113333370268E-2</v>
      </c>
      <c r="I73" s="188">
        <f>VLOOKUP(S$3,'All Schools Data view only'!A:EF,126,0)</f>
        <v>1.446274444956352E-2</v>
      </c>
      <c r="J73" s="188">
        <f>VLOOKUP(V$3,'All Schools Data view only'!A:EF,126,0)</f>
        <v>1.6679096652773329E-2</v>
      </c>
      <c r="K73" s="189">
        <f>VLOOKUP(T$3,'All Schools Data view only'!A:EF,126,0)</f>
        <v>6.2619343174447157E-3</v>
      </c>
      <c r="L73" s="189">
        <f>VLOOKUP(U$3,'All Schools Data view only'!A:EF,126,0)</f>
        <v>4.1379164336514899E-3</v>
      </c>
    </row>
    <row r="74" spans="1:12" s="5" customFormat="1" ht="15" customHeight="1">
      <c r="A74" s="208"/>
      <c r="B74" s="209" t="s">
        <v>15</v>
      </c>
      <c r="C74" s="211" t="str">
        <f>IF(ISERROR(VLOOKUP(C$2,'All Schools Data view only'!$A:$EF,127,0)),"",VLOOKUP(C$2,'All Schools Data view only'!$A:$EF,127,0))</f>
        <v/>
      </c>
      <c r="D74" s="211" t="str">
        <f>IF(ISERROR(VLOOKUP(D$2,'All Schools Data view only'!$A:$EF,127,0)),"",VLOOKUP(D$2,'All Schools Data view only'!$A:$EF,127,0))</f>
        <v/>
      </c>
      <c r="E74" s="211" t="str">
        <f>IF(ISERROR(VLOOKUP(E$2,'All Schools Data view only'!$A:$EF,127,0)),"",VLOOKUP(E$2,'All Schools Data view only'!$A:$EF,127,0))</f>
        <v/>
      </c>
      <c r="F74" s="211" t="str">
        <f>IF(ISERROR(VLOOKUP(F$2,'All Schools Data view only'!$A:$EF,127,0)),"",VLOOKUP(F$2,'All Schools Data view only'!$A:$EF,127,0))</f>
        <v/>
      </c>
      <c r="G74" s="190">
        <f>VLOOKUP(Q$3,'All Schools Data view only'!A:EF,127,0)</f>
        <v>18.141012814748201</v>
      </c>
      <c r="H74" s="191">
        <f>VLOOKUP(R$3,'All Schools Data view only'!A:EF,127,0)</f>
        <v>84.734259537585658</v>
      </c>
      <c r="I74" s="191">
        <f>VLOOKUP(S$3,'All Schools Data view only'!A:EF,127,0)</f>
        <v>106.15767039207667</v>
      </c>
      <c r="J74" s="191">
        <f>VLOOKUP(V$3,'All Schools Data view only'!A:EF,127,0)</f>
        <v>105.38866624122528</v>
      </c>
      <c r="K74" s="192">
        <f>VLOOKUP(T$3,'All Schools Data view only'!A:EF,127,0)</f>
        <v>185.92811646647726</v>
      </c>
      <c r="L74" s="192">
        <f>VLOOKUP(U$3,'All Schools Data view only'!A:EF,127,0)</f>
        <v>110.18770872274143</v>
      </c>
    </row>
    <row r="75" spans="1:12" ht="15" customHeight="1">
      <c r="A75" s="199"/>
      <c r="B75" s="179"/>
      <c r="C75" s="180"/>
      <c r="D75" s="180"/>
      <c r="E75" s="180"/>
      <c r="F75" s="180"/>
      <c r="G75" s="190"/>
      <c r="H75" s="191"/>
      <c r="I75" s="191"/>
      <c r="J75" s="192"/>
      <c r="K75" s="192"/>
      <c r="L75" s="192"/>
    </row>
    <row r="76" spans="1:12" s="5" customFormat="1" ht="15" customHeight="1">
      <c r="A76" s="208" t="s">
        <v>545</v>
      </c>
      <c r="B76" s="209" t="s">
        <v>14</v>
      </c>
      <c r="C76" s="210" t="str">
        <f>IF(ISERROR(VLOOKUP(C$2,'All Schools Data view only'!$A:$EF,124,0)),"",VLOOKUP(C$2,'All Schools Data view only'!$A:$EF,124,0))</f>
        <v/>
      </c>
      <c r="D76" s="210" t="str">
        <f>IF(ISERROR(VLOOKUP(D$2,'All Schools Data view only'!$A:$EF,124,0)),"",VLOOKUP(D$2,'All Schools Data view only'!$A:$EF,124,0))</f>
        <v/>
      </c>
      <c r="E76" s="210" t="str">
        <f>IF(ISERROR(VLOOKUP(E$2,'All Schools Data view only'!$A:$EF,124,0)),"",VLOOKUP(E$2,'All Schools Data view only'!$A:$EF,124,0))</f>
        <v/>
      </c>
      <c r="F76" s="210" t="str">
        <f>IF(ISERROR(VLOOKUP(F$2,'All Schools Data view only'!$A:$EF,124,0)),"",VLOOKUP(F$2,'All Schools Data view only'!$A:$EF,124,0))</f>
        <v/>
      </c>
      <c r="G76" s="187">
        <f>VLOOKUP(Q$3,'All Schools Data view only'!A:EF,124,0)</f>
        <v>5.5402556551409935E-3</v>
      </c>
      <c r="H76" s="188">
        <f>VLOOKUP(R$3,'All Schools Data view only'!A:EF,124,0)</f>
        <v>3.9973029814760586E-2</v>
      </c>
      <c r="I76" s="188">
        <f>VLOOKUP(S$3,'All Schools Data view only'!A:EF,124,0)</f>
        <v>1.5283339181425508E-2</v>
      </c>
      <c r="J76" s="188">
        <f>VLOOKUP(V$3,'All Schools Data view only'!A:EF,124,0)</f>
        <v>3.8497890679659641E-2</v>
      </c>
      <c r="K76" s="189">
        <f>VLOOKUP(T$3,'All Schools Data view only'!A:EF,124,0)</f>
        <v>9.5579872509507866E-3</v>
      </c>
      <c r="L76" s="189">
        <f>VLOOKUP(U$3,'All Schools Data view only'!A:EF,124,0)</f>
        <v>7.1271897945809634E-3</v>
      </c>
    </row>
    <row r="77" spans="1:12" s="5" customFormat="1" ht="15" customHeight="1">
      <c r="A77" s="208"/>
      <c r="B77" s="209" t="s">
        <v>15</v>
      </c>
      <c r="C77" s="211" t="str">
        <f>IF(ISERROR(VLOOKUP(C$2,'All Schools Data view only'!$A:$EF,125,0)),"",VLOOKUP(C$2,'All Schools Data view only'!$A:$EF,125,0))</f>
        <v/>
      </c>
      <c r="D77" s="211" t="str">
        <f>IF(ISERROR(VLOOKUP(D$2,'All Schools Data view only'!$A:$EF,125,0)),"",VLOOKUP(D$2,'All Schools Data view only'!$A:$EF,125,0))</f>
        <v/>
      </c>
      <c r="E77" s="211" t="str">
        <f>IF(ISERROR(VLOOKUP(E$2,'All Schools Data view only'!$A:$EF,125,0)),"",VLOOKUP(E$2,'All Schools Data view only'!$A:$EF,125,0))</f>
        <v/>
      </c>
      <c r="F77" s="211" t="str">
        <f>IF(ISERROR(VLOOKUP(F$2,'All Schools Data view only'!$A:$EF,125,0)),"",VLOOKUP(F$2,'All Schools Data view only'!$A:$EF,125,0))</f>
        <v/>
      </c>
      <c r="G77" s="190">
        <f>VLOOKUP(Q$3,'All Schools Data view only'!A:EF,125,0)</f>
        <v>64.423252738718105</v>
      </c>
      <c r="H77" s="191">
        <f>VLOOKUP(R$3,'All Schools Data view only'!A:EF,125,0)</f>
        <v>255.1206102805177</v>
      </c>
      <c r="I77" s="191">
        <f>VLOOKUP(S$3,'All Schools Data view only'!A:EF,125,0)</f>
        <v>108.89630414587815</v>
      </c>
      <c r="J77" s="191">
        <f>VLOOKUP(V$3,'All Schools Data view only'!A:EF,125,0)</f>
        <v>243.25306317804723</v>
      </c>
      <c r="K77" s="192">
        <f>VLOOKUP(T$3,'All Schools Data view only'!A:EF,125,0)</f>
        <v>287.14360393366178</v>
      </c>
      <c r="L77" s="192">
        <f>VLOOKUP(U$3,'All Schools Data view only'!A:EF,125,0)</f>
        <v>183.53618691588784</v>
      </c>
    </row>
    <row r="78" spans="1:12" ht="15" customHeight="1">
      <c r="A78" s="199"/>
      <c r="B78" s="179"/>
      <c r="C78" s="200"/>
      <c r="D78" s="200"/>
      <c r="E78" s="200"/>
      <c r="F78" s="200"/>
      <c r="G78" s="201"/>
      <c r="H78" s="202"/>
      <c r="I78" s="202"/>
      <c r="J78" s="203"/>
      <c r="K78" s="203"/>
      <c r="L78" s="203"/>
    </row>
    <row r="79" spans="1:12" ht="15" customHeight="1">
      <c r="A79" s="199" t="s">
        <v>23</v>
      </c>
      <c r="B79" s="179" t="s">
        <v>13</v>
      </c>
      <c r="C79" s="175" t="str">
        <f>IF(ISERROR(VLOOKUP(C$2,'All Schools Data view only'!$A:$EF,111,0)),"",VLOOKUP(C$2,'All Schools Data view only'!$A:$EF,111,0))</f>
        <v/>
      </c>
      <c r="D79" s="175" t="str">
        <f>IF(ISERROR(VLOOKUP(D$2,'All Schools Data view only'!$A:$EF,111,0)),"",VLOOKUP(D$2,'All Schools Data view only'!$A:$EF,111,0))</f>
        <v/>
      </c>
      <c r="E79" s="175" t="str">
        <f>IF(ISERROR(VLOOKUP(E$2,'All Schools Data view only'!$A:$EF,111,0)),"",VLOOKUP(E$2,'All Schools Data view only'!$A:$EF,111,0))</f>
        <v/>
      </c>
      <c r="F79" s="175" t="str">
        <f>IF(ISERROR(VLOOKUP(F$2,'All Schools Data view only'!$A:$EF,111,0)),"",VLOOKUP(F$2,'All Schools Data view only'!$A:$EF,111,0))</f>
        <v/>
      </c>
      <c r="G79" s="187">
        <f>VLOOKUP(Q$3,'All Schools Data view only'!A:EF,111,0)</f>
        <v>5.5852033269140275E-3</v>
      </c>
      <c r="H79" s="188">
        <f>VLOOKUP(R$3,'All Schools Data view only'!A:EF,111,0)</f>
        <v>1.1128807636964916E-2</v>
      </c>
      <c r="I79" s="188">
        <f>VLOOKUP(S$3,'All Schools Data view only'!A:EF,111,0)</f>
        <v>1.7691901527090097E-2</v>
      </c>
      <c r="J79" s="188">
        <f>VLOOKUP(V$3,'All Schools Data view only'!A:EF,111,0)</f>
        <v>6.5980215874869609E-3</v>
      </c>
      <c r="K79" s="189">
        <f>VLOOKUP(T$3,'All Schools Data view only'!A:EF,111,0)</f>
        <v>5.4487725574304093E-3</v>
      </c>
      <c r="L79" s="189">
        <f>VLOOKUP(U$3,'All Schools Data view only'!A:EF,111,0)</f>
        <v>3.1272373119650785E-3</v>
      </c>
    </row>
    <row r="80" spans="1:12" ht="15" customHeight="1">
      <c r="A80" s="199"/>
      <c r="B80" s="179" t="s">
        <v>14</v>
      </c>
      <c r="C80" s="175" t="str">
        <f>IF(ISERROR(VLOOKUP(C$2,'All Schools Data view only'!$A:$EF,112,0)),"",VLOOKUP(C$2,'All Schools Data view only'!$A:$EF,112,0))</f>
        <v/>
      </c>
      <c r="D80" s="175" t="str">
        <f>IF(ISERROR(VLOOKUP(D$2,'All Schools Data view only'!$A:$EF,112,0)),"",VLOOKUP(D$2,'All Schools Data view only'!$A:$EF,112,0))</f>
        <v/>
      </c>
      <c r="E80" s="175" t="str">
        <f>IF(ISERROR(VLOOKUP(E$2,'All Schools Data view only'!$A:$EF,112,0)),"",VLOOKUP(E$2,'All Schools Data view only'!$A:$EF,112,0))</f>
        <v/>
      </c>
      <c r="F80" s="175" t="str">
        <f>IF(ISERROR(VLOOKUP(F$2,'All Schools Data view only'!$A:$EF,112,0)),"",VLOOKUP(F$2,'All Schools Data view only'!$A:$EF,112,0))</f>
        <v/>
      </c>
      <c r="G80" s="187">
        <f>VLOOKUP(Q$3,'All Schools Data view only'!A:EF,112,0)</f>
        <v>3.1289802311627772E-3</v>
      </c>
      <c r="H80" s="188">
        <f>VLOOKUP(R$3,'All Schools Data view only'!A:EF,112,0)</f>
        <v>8.4298873709471658E-3</v>
      </c>
      <c r="I80" s="188">
        <f>VLOOKUP(S$3,'All Schools Data view only'!A:EF,112,0)</f>
        <v>1.4125478836427431E-2</v>
      </c>
      <c r="J80" s="188">
        <f>VLOOKUP(V$3,'All Schools Data view only'!A:EF,112,0)</f>
        <v>5.9949795975674011E-3</v>
      </c>
      <c r="K80" s="189">
        <f>VLOOKUP(T$3,'All Schools Data view only'!A:EF,112,0)</f>
        <v>5.0160661503668496E-3</v>
      </c>
      <c r="L80" s="189">
        <f>VLOOKUP(U$3,'All Schools Data view only'!A:EF,112,0)</f>
        <v>2.7851150254137313E-3</v>
      </c>
    </row>
    <row r="81" spans="1:12" ht="15.75">
      <c r="A81" s="199"/>
      <c r="B81" s="179" t="s">
        <v>15</v>
      </c>
      <c r="C81" s="180" t="str">
        <f>IF(ISERROR(VLOOKUP(C$2,'All Schools Data view only'!$A:$EF,113,0)),"",VLOOKUP(C$2,'All Schools Data view only'!$A:$EF,113,0))</f>
        <v/>
      </c>
      <c r="D81" s="180" t="str">
        <f>IF(ISERROR(VLOOKUP(D$2,'All Schools Data view only'!$A:$EF,113,0)),"",VLOOKUP(D$2,'All Schools Data view only'!$A:$EF,113,0))</f>
        <v/>
      </c>
      <c r="E81" s="180" t="str">
        <f>IF(ISERROR(VLOOKUP(E$2,'All Schools Data view only'!$A:$EF,113,0)),"",VLOOKUP(E$2,'All Schools Data view only'!$A:$EF,113,0))</f>
        <v/>
      </c>
      <c r="F81" s="180" t="str">
        <f>IF(ISERROR(VLOOKUP(F$2,'All Schools Data view only'!$A:$EF,113,0)),"",VLOOKUP(F$2,'All Schools Data view only'!$A:$EF,113,0))</f>
        <v/>
      </c>
      <c r="G81" s="190">
        <f>VLOOKUP(Q$3,'All Schools Data view only'!A:EF,113,0)</f>
        <v>37.453613881621976</v>
      </c>
      <c r="H81" s="191">
        <f>VLOOKUP(R$3,'All Schools Data view only'!A:EF,113,0)</f>
        <v>55.525120877135656</v>
      </c>
      <c r="I81" s="191">
        <f>VLOOKUP(S$3,'All Schools Data view only'!A:EF,113,0)</f>
        <v>113.82432249926863</v>
      </c>
      <c r="J81" s="191">
        <f>VLOOKUP(V$3,'All Schools Data view only'!A:EF,113,0)</f>
        <v>37.87992342054882</v>
      </c>
      <c r="K81" s="192">
        <f>VLOOKUP(T$3,'All Schools Data view only'!A:EF,113,0)</f>
        <v>160.41510933997435</v>
      </c>
      <c r="L81" s="192">
        <f>VLOOKUP(U$3,'All Schools Data view only'!A:EF,113,0)</f>
        <v>69.914361370716506</v>
      </c>
    </row>
    <row r="82" spans="1:12" ht="15" customHeight="1">
      <c r="A82" s="199"/>
      <c r="B82" s="179"/>
      <c r="C82" s="200"/>
      <c r="D82" s="200"/>
      <c r="E82" s="200"/>
      <c r="F82" s="200"/>
      <c r="G82" s="201"/>
      <c r="H82" s="202"/>
      <c r="I82" s="202"/>
      <c r="J82" s="203"/>
      <c r="K82" s="203"/>
      <c r="L82" s="203"/>
    </row>
    <row r="83" spans="1:12" ht="15" customHeight="1">
      <c r="A83" s="199" t="s">
        <v>24</v>
      </c>
      <c r="B83" s="179" t="s">
        <v>13</v>
      </c>
      <c r="C83" s="175" t="str">
        <f>IF(ISERROR(VLOOKUP(C$2,'All Schools Data view only'!$A:$EF,114,0)),"",VLOOKUP(C$2,'All Schools Data view only'!$A:$EF,114,0))</f>
        <v/>
      </c>
      <c r="D83" s="175" t="str">
        <f>IF(ISERROR(VLOOKUP(D$2,'All Schools Data view only'!$A:$EF,114,0)),"",VLOOKUP(D$2,'All Schools Data view only'!$A:$EF,114,0))</f>
        <v/>
      </c>
      <c r="E83" s="175" t="str">
        <f>IF(ISERROR(VLOOKUP(E$2,'All Schools Data view only'!$A:$EF,114,0)),"",VLOOKUP(E$2,'All Schools Data view only'!$A:$EF,114,0))</f>
        <v/>
      </c>
      <c r="F83" s="175" t="str">
        <f>IF(ISERROR(VLOOKUP(F$2,'All Schools Data view only'!$A:$EF,114,0)),"",VLOOKUP(F$2,'All Schools Data view only'!$A:$EF,114,0))</f>
        <v/>
      </c>
      <c r="G83" s="187">
        <f>VLOOKUP(Q$3,'All Schools Data view only'!A:EF,114,0)</f>
        <v>1.2484466646942468E-2</v>
      </c>
      <c r="H83" s="188">
        <f>VLOOKUP(R$3,'All Schools Data view only'!A:EF,114,0)</f>
        <v>3.6696879848732745E-2</v>
      </c>
      <c r="I83" s="188">
        <f>VLOOKUP(S$3,'All Schools Data view only'!A:EF,114,0)</f>
        <v>2.6115257445911796E-2</v>
      </c>
      <c r="J83" s="188">
        <f>VLOOKUP(V$3,'All Schools Data view only'!A:EF,114,0)</f>
        <v>2.3742713101718379E-2</v>
      </c>
      <c r="K83" s="189">
        <f>VLOOKUP(T$3,'All Schools Data view only'!A:EF,114,0)</f>
        <v>2.1872319549159715E-2</v>
      </c>
      <c r="L83" s="189">
        <f>VLOOKUP(U$3,'All Schools Data view only'!A:EF,114,0)</f>
        <v>2.1632638773162398E-2</v>
      </c>
    </row>
    <row r="84" spans="1:12" ht="15" customHeight="1">
      <c r="A84" s="199"/>
      <c r="B84" s="179" t="s">
        <v>401</v>
      </c>
      <c r="C84" s="175" t="str">
        <f>IF(ISERROR(VLOOKUP(C$2,'All Schools Data view only'!$A:$EF,115,0)),"",VLOOKUP(C$2,'All Schools Data view only'!$A:$EF,115,0))</f>
        <v/>
      </c>
      <c r="D84" s="175" t="str">
        <f>IF(ISERROR(VLOOKUP(D$2,'All Schools Data view only'!$A:$EF,115,0)),"",VLOOKUP(D$2,'All Schools Data view only'!$A:$EF,115,0))</f>
        <v/>
      </c>
      <c r="E84" s="175" t="str">
        <f>IF(ISERROR(VLOOKUP(E$2,'All Schools Data view only'!$A:$EF,115,0)),"",VLOOKUP(E$2,'All Schools Data view only'!$A:$EF,115,0))</f>
        <v/>
      </c>
      <c r="F84" s="175" t="str">
        <f>IF(ISERROR(VLOOKUP(F$2,'All Schools Data view only'!$A:$EF,115,0)),"",VLOOKUP(F$2,'All Schools Data view only'!$A:$EF,115,0))</f>
        <v/>
      </c>
      <c r="G84" s="187">
        <f>VLOOKUP(Q$3,'All Schools Data view only'!A:EF,115,0)</f>
        <v>7.3666639255214831E-3</v>
      </c>
      <c r="H84" s="188">
        <f>VLOOKUP(R$3,'All Schools Data view only'!A:EF,115,0)</f>
        <v>2.9690381836053333E-2</v>
      </c>
      <c r="I84" s="188">
        <f>VLOOKUP(S$3,'All Schools Data view only'!A:EF,115,0)</f>
        <v>2.2200797136456937E-2</v>
      </c>
      <c r="J84" s="188">
        <f>VLOOKUP(V$3,'All Schools Data view only'!A:EF,115,0)</f>
        <v>2.1070142011445463E-2</v>
      </c>
      <c r="K84" s="189">
        <f>VLOOKUP(T$3,'All Schools Data view only'!A:EF,115,0)</f>
        <v>1.9505606421705114E-2</v>
      </c>
      <c r="L84" s="189">
        <f>VLOOKUP(U$3,'All Schools Data view only'!A:EF,115,0)</f>
        <v>1.7575954833182923E-2</v>
      </c>
    </row>
    <row r="85" spans="1:12" ht="15" customHeight="1">
      <c r="A85" s="199"/>
      <c r="B85" s="179" t="s">
        <v>14</v>
      </c>
      <c r="C85" s="175" t="str">
        <f>IF(ISERROR(VLOOKUP(C$2,'All Schools Data view only'!$A:$EF,116,0)),"",VLOOKUP(C$2,'All Schools Data view only'!$A:$EF,116,0))</f>
        <v/>
      </c>
      <c r="D85" s="175" t="str">
        <f>IF(ISERROR(VLOOKUP(D$2,'All Schools Data view only'!$A:$EF,116,0)),"",VLOOKUP(D$2,'All Schools Data view only'!$A:$EF,116,0))</f>
        <v/>
      </c>
      <c r="E85" s="175" t="str">
        <f>IF(ISERROR(VLOOKUP(E$2,'All Schools Data view only'!$A:$EF,116,0)),"",VLOOKUP(E$2,'All Schools Data view only'!$A:$EF,116,0))</f>
        <v/>
      </c>
      <c r="F85" s="175" t="str">
        <f>IF(ISERROR(VLOOKUP(F$2,'All Schools Data view only'!$A:$EF,116,0)),"",VLOOKUP(F$2,'All Schools Data view only'!$A:$EF,116,0))</f>
        <v/>
      </c>
      <c r="G85" s="187">
        <f>VLOOKUP(Q$3,'All Schools Data view only'!A:EF,116,0)</f>
        <v>6.9383092819670904E-3</v>
      </c>
      <c r="H85" s="188">
        <f>VLOOKUP(R$3,'All Schools Data view only'!A:EF,116,0)</f>
        <v>2.9447167924137492E-2</v>
      </c>
      <c r="I85" s="188">
        <f>VLOOKUP(S$3,'All Schools Data view only'!A:EF,116,0)</f>
        <v>2.2675219828471347E-2</v>
      </c>
      <c r="J85" s="188">
        <f>VLOOKUP(V$3,'All Schools Data view only'!A:EF,116,0)</f>
        <v>2.1572690957185989E-2</v>
      </c>
      <c r="K85" s="189">
        <f>VLOOKUP(T$3,'All Schools Data view only'!A:EF,116,0)</f>
        <v>2.003253375966051E-2</v>
      </c>
      <c r="L85" s="189">
        <f>VLOOKUP(U$3,'All Schools Data view only'!A:EF,116,0)</f>
        <v>1.8014118481595419E-2</v>
      </c>
    </row>
    <row r="86" spans="1:12" ht="15" customHeight="1">
      <c r="A86" s="199"/>
      <c r="B86" s="179" t="s">
        <v>15</v>
      </c>
      <c r="C86" s="180" t="str">
        <f>IF(ISERROR(VLOOKUP(C$2,'All Schools Data view only'!$A:$EF,117,0)),"",VLOOKUP(C$2,'All Schools Data view only'!$A:$EF,117,0))</f>
        <v/>
      </c>
      <c r="D86" s="180" t="str">
        <f>IF(ISERROR(VLOOKUP(D$2,'All Schools Data view only'!$A:$EF,117,0)),"",VLOOKUP(D$2,'All Schools Data view only'!$A:$EF,117,0))</f>
        <v/>
      </c>
      <c r="E86" s="180" t="str">
        <f>IF(ISERROR(VLOOKUP(E$2,'All Schools Data view only'!$A:$EF,117,0)),"",VLOOKUP(E$2,'All Schools Data view only'!$A:$EF,117,0))</f>
        <v/>
      </c>
      <c r="F86" s="180" t="str">
        <f>IF(ISERROR(VLOOKUP(F$2,'All Schools Data view only'!$A:$EF,117,0)),"",VLOOKUP(F$2,'All Schools Data view only'!$A:$EF,117,0))</f>
        <v/>
      </c>
      <c r="G86" s="190">
        <f>VLOOKUP(Q$3,'All Schools Data view only'!A:EF,117,0)</f>
        <v>83.601768823577515</v>
      </c>
      <c r="H86" s="191">
        <f>VLOOKUP(R$3,'All Schools Data view only'!A:EF,117,0)</f>
        <v>189.79946541572798</v>
      </c>
      <c r="I86" s="191">
        <f>VLOOKUP(S$3,'All Schools Data view only'!A:EF,117,0)</f>
        <v>169.40286013385563</v>
      </c>
      <c r="J86" s="191">
        <f>VLOOKUP(V$3,'All Schools Data view only'!A:EF,117,0)</f>
        <v>136.30936821952776</v>
      </c>
      <c r="K86" s="192">
        <f>VLOOKUP(T$3,'All Schools Data view only'!A:EF,117,0)</f>
        <v>625.98474690125988</v>
      </c>
      <c r="L86" s="192">
        <f>VLOOKUP(U$3,'All Schools Data view only'!A:EF,117,0)</f>
        <v>427.83498753894082</v>
      </c>
    </row>
    <row r="87" spans="1:12" ht="15" customHeight="1">
      <c r="A87" s="199"/>
      <c r="B87" s="179"/>
      <c r="C87" s="200"/>
      <c r="D87" s="200"/>
      <c r="E87" s="200"/>
      <c r="F87" s="200"/>
      <c r="G87" s="201"/>
      <c r="H87" s="202"/>
      <c r="I87" s="202"/>
      <c r="J87" s="203"/>
      <c r="K87" s="203"/>
      <c r="L87" s="203"/>
    </row>
    <row r="88" spans="1:12" ht="15" customHeight="1">
      <c r="A88" s="199" t="s">
        <v>25</v>
      </c>
      <c r="B88" s="179" t="s">
        <v>13</v>
      </c>
      <c r="C88" s="175" t="str">
        <f>IF(ISERROR(VLOOKUP(C$2,'All Schools Data view only'!$A:$EF,118,0)),"",VLOOKUP(C$2,'All Schools Data view only'!$A:$EF,118,0))</f>
        <v/>
      </c>
      <c r="D88" s="175" t="str">
        <f>IF(ISERROR(VLOOKUP(D$2,'All Schools Data view only'!$A:$EF,118,0)),"",VLOOKUP(D$2,'All Schools Data view only'!$A:$EF,118,0))</f>
        <v/>
      </c>
      <c r="E88" s="175" t="str">
        <f>IF(ISERROR(VLOOKUP(E$2,'All Schools Data view only'!$A:$EF,118,0)),"",VLOOKUP(E$2,'All Schools Data view only'!$A:$EF,118,0))</f>
        <v/>
      </c>
      <c r="F88" s="175" t="str">
        <f>IF(ISERROR(VLOOKUP(F$2,'All Schools Data view only'!$A:$EF,118,0)),"",VLOOKUP(F$2,'All Schools Data view only'!$A:$EF,118,0))</f>
        <v/>
      </c>
      <c r="G88" s="187">
        <f>VLOOKUP(Q$3,'All Schools Data view only'!A:EF,118,0)</f>
        <v>9.7871791319285011E-3</v>
      </c>
      <c r="H88" s="188">
        <f>VLOOKUP(R$3,'All Schools Data view only'!A:EF,118,0)</f>
        <v>9.411525883740255E-3</v>
      </c>
      <c r="I88" s="188">
        <f>VLOOKUP(S$3,'All Schools Data view only'!A:EF,118,0)</f>
        <v>9.3120191977956943E-3</v>
      </c>
      <c r="J88" s="188">
        <f>VLOOKUP(V$3,'All Schools Data view only'!A:EF,118,0)</f>
        <v>1.1343030980978382E-2</v>
      </c>
      <c r="K88" s="189">
        <f>VLOOKUP(T$3,'All Schools Data view only'!A:EF,118,0)</f>
        <v>3.7111223286898274E-3</v>
      </c>
      <c r="L88" s="189">
        <f>VLOOKUP(U$3,'All Schools Data view only'!A:EF,118,0)</f>
        <v>1.7056636207322132E-2</v>
      </c>
    </row>
    <row r="89" spans="1:12" ht="15" customHeight="1">
      <c r="A89" s="199"/>
      <c r="B89" s="179" t="s">
        <v>14</v>
      </c>
      <c r="C89" s="175" t="str">
        <f>IF(ISERROR(VLOOKUP(C$2,'All Schools Data view only'!$A:$EF,119,0)),"",VLOOKUP(C$2,'All Schools Data view only'!$A:$EF,119,0))</f>
        <v/>
      </c>
      <c r="D89" s="175" t="str">
        <f>IF(ISERROR(VLOOKUP(D$2,'All Schools Data view only'!$A:$EF,119,0)),"",VLOOKUP(D$2,'All Schools Data view only'!$A:$EF,119,0))</f>
        <v/>
      </c>
      <c r="E89" s="175" t="str">
        <f>IF(ISERROR(VLOOKUP(E$2,'All Schools Data view only'!$A:$EF,119,0)),"",VLOOKUP(E$2,'All Schools Data view only'!$A:$EF,119,0))</f>
        <v/>
      </c>
      <c r="F89" s="175" t="str">
        <f>IF(ISERROR(VLOOKUP(F$2,'All Schools Data view only'!$A:$EF,119,0)),"",VLOOKUP(F$2,'All Schools Data view only'!$A:$EF,119,0))</f>
        <v/>
      </c>
      <c r="G89" s="187">
        <f>VLOOKUP(Q$3,'All Schools Data view only'!A:EF,119,0)</f>
        <v>5.4695590527361242E-3</v>
      </c>
      <c r="H89" s="188">
        <f>VLOOKUP(R$3,'All Schools Data view only'!A:EF,119,0)</f>
        <v>7.5869550585384053E-3</v>
      </c>
      <c r="I89" s="188">
        <f>VLOOKUP(S$3,'All Schools Data view only'!A:EF,119,0)</f>
        <v>7.9649192371466799E-3</v>
      </c>
      <c r="J89" s="188">
        <f>VLOOKUP(V$3,'All Schools Data view only'!A:EF,119,0)</f>
        <v>1.0306307489885086E-2</v>
      </c>
      <c r="K89" s="189">
        <f>VLOOKUP(T$3,'All Schools Data view only'!A:EF,119,0)</f>
        <v>3.3918736677358424E-3</v>
      </c>
      <c r="L89" s="189">
        <f>VLOOKUP(U$3,'All Schools Data view only'!A:EF,119,0)</f>
        <v>1.3487530619118775E-2</v>
      </c>
    </row>
    <row r="90" spans="1:12" ht="15" customHeight="1">
      <c r="A90" s="199"/>
      <c r="B90" s="179" t="s">
        <v>15</v>
      </c>
      <c r="C90" s="180" t="str">
        <f>IF(ISERROR(VLOOKUP(C$2,'All Schools Data view only'!$A:$EF,120,0)),"",VLOOKUP(C$2,'All Schools Data view only'!$A:$EF,120,0))</f>
        <v/>
      </c>
      <c r="D90" s="180" t="str">
        <f>IF(ISERROR(VLOOKUP(D$2,'All Schools Data view only'!$A:$EF,120,0)),"",VLOOKUP(D$2,'All Schools Data view only'!$A:$EF,120,0))</f>
        <v/>
      </c>
      <c r="E90" s="180" t="str">
        <f>IF(ISERROR(VLOOKUP(E$2,'All Schools Data view only'!$A:$EF,120,0)),"",VLOOKUP(E$2,'All Schools Data view only'!$A:$EF,120,0))</f>
        <v/>
      </c>
      <c r="F90" s="180" t="str">
        <f>IF(ISERROR(VLOOKUP(F$2,'All Schools Data view only'!$A:$EF,120,0)),"",VLOOKUP(F$2,'All Schools Data view only'!$A:$EF,120,0))</f>
        <v/>
      </c>
      <c r="G90" s="190">
        <f>VLOOKUP(Q$3,'All Schools Data view only'!A:EF,120,0)</f>
        <v>65.6031498324068</v>
      </c>
      <c r="H90" s="191">
        <f>VLOOKUP(R$3,'All Schools Data view only'!A:EF,120,0)</f>
        <v>49.156339224876497</v>
      </c>
      <c r="I90" s="191">
        <f>VLOOKUP(S$3,'All Schools Data view only'!A:EF,120,0)</f>
        <v>56.711848521460873</v>
      </c>
      <c r="J90" s="191">
        <f>VLOOKUP(V$3,'All Schools Data view only'!A:EF,120,0)</f>
        <v>65.121512444160814</v>
      </c>
      <c r="K90" s="192">
        <f>VLOOKUP(T$3,'All Schools Data view only'!A:EF,120,0)</f>
        <v>104.7257864776255</v>
      </c>
      <c r="L90" s="192">
        <f>VLOOKUP(U$3,'All Schools Data view only'!A:EF,120,0)</f>
        <v>305.42095327102805</v>
      </c>
    </row>
    <row r="91" spans="1:12" ht="15" customHeight="1">
      <c r="A91" s="199"/>
      <c r="B91" s="198"/>
      <c r="C91" s="212"/>
      <c r="D91" s="212"/>
      <c r="E91" s="212"/>
      <c r="F91" s="212"/>
      <c r="G91" s="201"/>
      <c r="H91" s="202"/>
      <c r="I91" s="202"/>
      <c r="J91" s="203"/>
      <c r="K91" s="203"/>
      <c r="L91" s="203"/>
    </row>
    <row r="92" spans="1:12" ht="31.5" customHeight="1">
      <c r="A92" s="197" t="s">
        <v>364</v>
      </c>
      <c r="B92" s="179" t="s">
        <v>13</v>
      </c>
      <c r="C92" s="175" t="str">
        <f>IF(ISERROR(VLOOKUP(C$2,'All Schools Data view only'!$A:$EF,121,0)),"",VLOOKUP(C$2,'All Schools Data view only'!$A:$EF,121,0))</f>
        <v/>
      </c>
      <c r="D92" s="175" t="str">
        <f>IF(ISERROR(VLOOKUP(D$2,'All Schools Data view only'!$A:$EF,121,0)),"",VLOOKUP(D$2,'All Schools Data view only'!$A:$EF,121,0))</f>
        <v/>
      </c>
      <c r="E92" s="175" t="str">
        <f>IF(ISERROR(VLOOKUP(E$2,'All Schools Data view only'!$A:$EF,121,0)),"",VLOOKUP(E$2,'All Schools Data view only'!$A:$EF,121,0))</f>
        <v/>
      </c>
      <c r="F92" s="175" t="str">
        <f>IF(ISERROR(VLOOKUP(F$2,'All Schools Data view only'!$A:$EF,121,0)),"",VLOOKUP(F$2,'All Schools Data view only'!$A:$EF,121,0))</f>
        <v/>
      </c>
      <c r="G92" s="187">
        <f>VLOOKUP(Q$3,'All Schools Data view only'!A:EF,121,0)</f>
        <v>2.3776733410014725E-2</v>
      </c>
      <c r="H92" s="188">
        <f>VLOOKUP(R$3,'All Schools Data view only'!A:EF,121,0)</f>
        <v>5.3838690650911195E-2</v>
      </c>
      <c r="I92" s="188">
        <f>VLOOKUP(S$3,'All Schools Data view only'!A:EF,121,0)</f>
        <v>2.7728487951710502E-2</v>
      </c>
      <c r="J92" s="188">
        <f>VLOOKUP(V$3,'All Schools Data view only'!A:EF,121,0)</f>
        <v>4.5249677038377803E-2</v>
      </c>
      <c r="K92" s="189">
        <f>VLOOKUP(T$3,'All Schools Data view only'!A:EF,121,0)</f>
        <v>7.032839066762335E-2</v>
      </c>
      <c r="L92" s="189">
        <f>VLOOKUP(U$3,'All Schools Data view only'!A:EF,121,0)</f>
        <v>7.0552705141066693E-2</v>
      </c>
    </row>
    <row r="93" spans="1:12" ht="15" customHeight="1">
      <c r="A93" s="199"/>
      <c r="B93" s="179" t="s">
        <v>14</v>
      </c>
      <c r="C93" s="175" t="str">
        <f>IF(ISERROR(VLOOKUP(C$2,'All Schools Data view only'!$A:$EF,122,0)),"",VLOOKUP(C$2,'All Schools Data view only'!$A:$EF,122,0))</f>
        <v/>
      </c>
      <c r="D93" s="175" t="str">
        <f>IF(ISERROR(VLOOKUP(D$2,'All Schools Data view only'!$A:$EF,122,0)),"",VLOOKUP(D$2,'All Schools Data view only'!$A:$EF,122,0))</f>
        <v/>
      </c>
      <c r="E93" s="175" t="str">
        <f>IF(ISERROR(VLOOKUP(E$2,'All Schools Data view only'!$A:$EF,122,0)),"",VLOOKUP(E$2,'All Schools Data view only'!$A:$EF,122,0))</f>
        <v/>
      </c>
      <c r="F93" s="175" t="str">
        <f>IF(ISERROR(VLOOKUP(F$2,'All Schools Data view only'!$A:$EF,122,0)),"",VLOOKUP(F$2,'All Schools Data view only'!$A:$EF,122,0))</f>
        <v/>
      </c>
      <c r="G93" s="187">
        <f>VLOOKUP(Q$3,'All Schools Data view only'!A:EF,122,0)</f>
        <v>1.4000063840281003E-2</v>
      </c>
      <c r="H93" s="188">
        <f>VLOOKUP(R$3,'All Schools Data view only'!A:EF,122,0)</f>
        <v>4.4009540950698658E-2</v>
      </c>
      <c r="I93" s="188">
        <f>VLOOKUP(S$3,'All Schools Data view only'!A:EF,122,0)</f>
        <v>2.3674910472014848E-2</v>
      </c>
      <c r="J93" s="188">
        <f>VLOOKUP(V$3,'All Schools Data view only'!A:EF,122,0)</f>
        <v>4.1113974400455097E-2</v>
      </c>
      <c r="K93" s="189">
        <f>VLOOKUP(T$3,'All Schools Data view only'!A:EF,122,0)</f>
        <v>6.4661198490902308E-2</v>
      </c>
      <c r="L93" s="189">
        <f>VLOOKUP(U$3,'All Schools Data view only'!A:EF,122,0)</f>
        <v>6.0289345539912095E-2</v>
      </c>
    </row>
    <row r="94" spans="1:12" ht="15" customHeight="1">
      <c r="A94" s="199"/>
      <c r="B94" s="179" t="s">
        <v>15</v>
      </c>
      <c r="C94" s="213" t="str">
        <f>IF(ISERROR(VLOOKUP(C$2,'All Schools Data view only'!$A:$EF,123,0)),"",VLOOKUP(C$2,'All Schools Data view only'!$A:$EF,123,0))</f>
        <v/>
      </c>
      <c r="D94" s="213" t="str">
        <f>IF(ISERROR(VLOOKUP(D$2,'All Schools Data view only'!$A:$EF,123,0)),"",VLOOKUP(D$2,'All Schools Data view only'!$A:$EF,123,0))</f>
        <v/>
      </c>
      <c r="E94" s="213" t="str">
        <f>IF(ISERROR(VLOOKUP(E$2,'All Schools Data view only'!$A:$EF,123,0)),"",VLOOKUP(E$2,'All Schools Data view only'!$A:$EF,123,0))</f>
        <v/>
      </c>
      <c r="F94" s="213" t="str">
        <f>IF(ISERROR(VLOOKUP(F$2,'All Schools Data view only'!$A:$EF,123,0)),"",VLOOKUP(F$2,'All Schools Data view only'!$A:$EF,123,0))</f>
        <v/>
      </c>
      <c r="G94" s="190">
        <f>VLOOKUP(Q$3,'All Schools Data view only'!A:EF,123,0)</f>
        <v>160.87260505232177</v>
      </c>
      <c r="H94" s="191">
        <f>VLOOKUP(R$3,'All Schools Data view only'!A:EF,123,0)</f>
        <v>284.67120897882165</v>
      </c>
      <c r="I94" s="191">
        <f>VLOOKUP(S$3,'All Schools Data view only'!A:EF,123,0)</f>
        <v>186.12873143867304</v>
      </c>
      <c r="J94" s="191">
        <f>VLOOKUP(V$3,'All Schools Data view only'!A:EF,123,0)</f>
        <v>259.78306955966815</v>
      </c>
      <c r="K94" s="192">
        <f>VLOOKUP(T$3,'All Schools Data view only'!A:EF,123,0)</f>
        <v>1878.8921768499538</v>
      </c>
      <c r="L94" s="192">
        <f>VLOOKUP(U$3,'All Schools Data view only'!A:EF,123,0)</f>
        <v>1463.8940841121494</v>
      </c>
    </row>
    <row r="95" spans="1:12" ht="15" customHeight="1">
      <c r="A95" s="199"/>
      <c r="B95" s="198"/>
      <c r="C95" s="212"/>
      <c r="D95" s="212"/>
      <c r="E95" s="212"/>
      <c r="F95" s="212"/>
      <c r="G95" s="201"/>
      <c r="H95" s="202"/>
      <c r="I95" s="202"/>
      <c r="J95" s="203"/>
      <c r="K95" s="203"/>
      <c r="L95" s="203"/>
    </row>
    <row r="96" spans="1:12" ht="33" customHeight="1">
      <c r="A96" s="197" t="s">
        <v>342</v>
      </c>
      <c r="B96" s="179" t="s">
        <v>303</v>
      </c>
      <c r="C96" s="214" t="e">
        <f>VLOOKUP(C2,'All Schools Data view only'!$A$4:$EF$99,132,0)</f>
        <v>#N/A</v>
      </c>
      <c r="D96" s="214" t="e">
        <f>VLOOKUP(D2,'All Schools Data view only'!$A$4:$EF$99,132,0)</f>
        <v>#N/A</v>
      </c>
      <c r="E96" s="214" t="e">
        <f>VLOOKUP(E2,'All Schools Data view only'!$A$4:$EF$99,132,0)</f>
        <v>#N/A</v>
      </c>
      <c r="F96" s="214" t="e">
        <f>VLOOKUP(F2,'All Schools Data view only'!$A$4:$EF$99,132,0)</f>
        <v>#N/A</v>
      </c>
      <c r="G96" s="215">
        <f>VLOOKUP(Q$3,'All Schools Data view only'!A:EF,132,0)</f>
        <v>0</v>
      </c>
      <c r="H96" s="216">
        <f>VLOOKUP(R$3,'All Schools Data view only'!A:EF,132,0)</f>
        <v>68.547945205479451</v>
      </c>
      <c r="I96" s="216">
        <f>VLOOKUP(S$3,'All Schools Data view only'!A:EF,132,0)</f>
        <v>133.75</v>
      </c>
      <c r="J96" s="216">
        <f>VLOOKUP(V$3,'All Schools Data view only'!A:EF,132,0)</f>
        <v>472</v>
      </c>
      <c r="K96" s="217">
        <f>VLOOKUP(T$3,'All Schools Data view only'!A:EF,132,0)</f>
        <v>41.333333333333336</v>
      </c>
      <c r="L96" s="217">
        <f>VLOOKUP(U$3,'All Schools Data view only'!A:EF,132,0)</f>
        <v>17.5</v>
      </c>
    </row>
    <row r="97" spans="1:12" ht="15" customHeight="1" thickBot="1">
      <c r="A97" s="218"/>
      <c r="B97" s="219"/>
      <c r="C97" s="220"/>
      <c r="D97" s="220"/>
      <c r="E97" s="220"/>
      <c r="F97" s="220"/>
      <c r="G97" s="221"/>
      <c r="H97" s="222"/>
      <c r="I97" s="222"/>
      <c r="J97" s="223"/>
      <c r="K97" s="223"/>
      <c r="L97" s="223"/>
    </row>
    <row r="98" spans="1:12" ht="15" customHeight="1" thickTop="1">
      <c r="A98" s="153"/>
      <c r="B98" s="153"/>
      <c r="C98" s="153"/>
      <c r="D98" s="153"/>
      <c r="E98" s="153"/>
      <c r="F98" s="153"/>
      <c r="G98" s="153"/>
      <c r="H98" s="153"/>
      <c r="I98" s="153"/>
      <c r="J98" s="153"/>
      <c r="K98" s="153"/>
      <c r="L98" s="153"/>
    </row>
    <row r="99" spans="1:12" ht="15" customHeight="1"/>
    <row r="100" spans="1:12" ht="15" customHeight="1"/>
    <row r="101" spans="1:12" ht="15" customHeight="1"/>
    <row r="422" spans="2:9" ht="15" customHeight="1">
      <c r="B422" s="15" t="s">
        <v>26</v>
      </c>
      <c r="C422" s="2">
        <v>9999</v>
      </c>
      <c r="D422" s="2">
        <v>9999</v>
      </c>
      <c r="E422" s="2">
        <v>9999</v>
      </c>
      <c r="F422" s="2">
        <v>9999</v>
      </c>
    </row>
    <row r="423" spans="2:9" ht="12.75" customHeight="1">
      <c r="B423" s="15"/>
      <c r="C423" s="6"/>
      <c r="D423" s="6"/>
      <c r="E423" s="6"/>
      <c r="F423" s="6"/>
    </row>
    <row r="424" spans="2:9" ht="15" customHeight="1">
      <c r="B424" s="3" t="s">
        <v>361</v>
      </c>
      <c r="C424" s="6">
        <v>1000</v>
      </c>
      <c r="D424" s="6">
        <v>1000</v>
      </c>
      <c r="E424" s="6">
        <v>1000</v>
      </c>
      <c r="F424" s="6">
        <v>1000</v>
      </c>
    </row>
    <row r="425" spans="2:9" ht="15" customHeight="1">
      <c r="B425" s="3" t="s">
        <v>29</v>
      </c>
      <c r="C425" s="6">
        <v>1002</v>
      </c>
      <c r="D425" s="6">
        <v>1002</v>
      </c>
      <c r="E425" s="6">
        <v>1002</v>
      </c>
      <c r="F425" s="6">
        <v>1002</v>
      </c>
    </row>
    <row r="426" spans="2:9" ht="12.75" customHeight="1">
      <c r="B426" s="15"/>
      <c r="C426" s="6"/>
      <c r="D426" s="6"/>
      <c r="E426" s="6"/>
      <c r="F426" s="6"/>
    </row>
    <row r="427" spans="2:9" ht="15" customHeight="1">
      <c r="B427" s="4" t="s">
        <v>31</v>
      </c>
      <c r="C427" s="6">
        <v>3520</v>
      </c>
      <c r="D427" s="6">
        <v>3520</v>
      </c>
      <c r="E427" s="6">
        <v>3520</v>
      </c>
      <c r="F427" s="6">
        <v>3520</v>
      </c>
    </row>
    <row r="428" spans="2:9" ht="15" customHeight="1">
      <c r="B428" s="6" t="s">
        <v>32</v>
      </c>
      <c r="C428" s="6">
        <v>3317</v>
      </c>
      <c r="D428" s="6">
        <v>3317</v>
      </c>
      <c r="E428" s="6">
        <v>3317</v>
      </c>
      <c r="F428" s="6">
        <v>3317</v>
      </c>
    </row>
    <row r="429" spans="2:9" ht="15" customHeight="1">
      <c r="B429" s="7" t="s">
        <v>33</v>
      </c>
      <c r="C429" s="6">
        <v>3300</v>
      </c>
      <c r="D429" s="6">
        <v>3300</v>
      </c>
      <c r="E429" s="6">
        <v>3300</v>
      </c>
      <c r="F429" s="6">
        <v>3300</v>
      </c>
    </row>
    <row r="430" spans="2:9" ht="15" customHeight="1">
      <c r="B430" s="6" t="s">
        <v>34</v>
      </c>
      <c r="C430" s="6">
        <v>3500</v>
      </c>
      <c r="D430" s="6">
        <v>3500</v>
      </c>
      <c r="E430" s="6">
        <v>3500</v>
      </c>
      <c r="F430" s="6">
        <v>3500</v>
      </c>
    </row>
    <row r="431" spans="2:9" ht="15" customHeight="1">
      <c r="B431" s="6" t="s">
        <v>35</v>
      </c>
      <c r="C431" s="6">
        <v>3514</v>
      </c>
      <c r="D431" s="6">
        <v>3514</v>
      </c>
      <c r="E431" s="6">
        <v>3514</v>
      </c>
      <c r="F431" s="6">
        <v>3514</v>
      </c>
    </row>
    <row r="432" spans="2:9" ht="15" customHeight="1">
      <c r="B432" s="6" t="s">
        <v>36</v>
      </c>
      <c r="C432" s="6">
        <v>2002</v>
      </c>
      <c r="D432" s="6">
        <v>2002</v>
      </c>
      <c r="E432" s="6">
        <v>2002</v>
      </c>
      <c r="F432" s="6">
        <v>2002</v>
      </c>
      <c r="H432" s="6"/>
      <c r="I432" s="6"/>
    </row>
    <row r="433" spans="2:9" ht="15" customHeight="1">
      <c r="B433" s="6" t="s">
        <v>37</v>
      </c>
      <c r="C433" s="6">
        <v>2079</v>
      </c>
      <c r="D433" s="6">
        <v>2079</v>
      </c>
      <c r="E433" s="6">
        <v>2079</v>
      </c>
      <c r="F433" s="6">
        <v>2079</v>
      </c>
      <c r="H433" s="6"/>
      <c r="I433" s="6"/>
    </row>
    <row r="434" spans="2:9" ht="15" customHeight="1">
      <c r="B434" s="6" t="s">
        <v>311</v>
      </c>
      <c r="C434" s="6">
        <v>3524</v>
      </c>
      <c r="D434" s="6">
        <v>3524</v>
      </c>
      <c r="E434" s="6">
        <v>3524</v>
      </c>
      <c r="F434" s="6">
        <v>3524</v>
      </c>
      <c r="H434" s="6"/>
      <c r="I434" s="6"/>
    </row>
    <row r="435" spans="2:9" ht="15" customHeight="1">
      <c r="B435" s="6" t="s">
        <v>38</v>
      </c>
      <c r="C435" s="6">
        <v>2003</v>
      </c>
      <c r="D435" s="6">
        <v>2003</v>
      </c>
      <c r="E435" s="6">
        <v>2003</v>
      </c>
      <c r="F435" s="6">
        <v>2003</v>
      </c>
      <c r="H435" s="6"/>
      <c r="I435" s="6"/>
    </row>
    <row r="436" spans="2:9" ht="15" customHeight="1">
      <c r="B436" s="6" t="s">
        <v>39</v>
      </c>
      <c r="C436" s="6">
        <v>3511</v>
      </c>
      <c r="D436" s="6">
        <v>3511</v>
      </c>
      <c r="E436" s="6">
        <v>3511</v>
      </c>
      <c r="F436" s="6">
        <v>3511</v>
      </c>
      <c r="H436" s="6"/>
      <c r="I436" s="6"/>
    </row>
    <row r="437" spans="2:9" ht="15" customHeight="1">
      <c r="B437" s="6" t="s">
        <v>40</v>
      </c>
      <c r="C437" s="6">
        <v>2008</v>
      </c>
      <c r="D437" s="6">
        <v>2008</v>
      </c>
      <c r="E437" s="6">
        <v>2008</v>
      </c>
      <c r="F437" s="6">
        <v>2008</v>
      </c>
      <c r="H437" s="6"/>
      <c r="I437" s="6"/>
    </row>
    <row r="438" spans="2:9" ht="15" customHeight="1">
      <c r="B438" s="6" t="s">
        <v>41</v>
      </c>
      <c r="C438" s="6">
        <v>2007</v>
      </c>
      <c r="D438" s="6">
        <v>2007</v>
      </c>
      <c r="E438" s="6">
        <v>2007</v>
      </c>
      <c r="F438" s="6">
        <v>2007</v>
      </c>
      <c r="H438" s="6"/>
      <c r="I438" s="6"/>
    </row>
    <row r="439" spans="2:9" ht="15" customHeight="1">
      <c r="B439" s="6" t="s">
        <v>42</v>
      </c>
      <c r="C439" s="6">
        <v>2009</v>
      </c>
      <c r="D439" s="6">
        <v>2009</v>
      </c>
      <c r="E439" s="6">
        <v>2009</v>
      </c>
      <c r="F439" s="6">
        <v>2009</v>
      </c>
      <c r="H439" s="6"/>
      <c r="I439" s="6"/>
    </row>
    <row r="440" spans="2:9" ht="15" customHeight="1">
      <c r="B440" s="6" t="s">
        <v>43</v>
      </c>
      <c r="C440" s="6">
        <v>2067</v>
      </c>
      <c r="D440" s="6">
        <v>2067</v>
      </c>
      <c r="E440" s="6">
        <v>2067</v>
      </c>
      <c r="F440" s="6">
        <v>2067</v>
      </c>
      <c r="H440" s="6"/>
      <c r="I440" s="6"/>
    </row>
    <row r="441" spans="2:9" ht="15" customHeight="1">
      <c r="B441" s="6" t="s">
        <v>45</v>
      </c>
      <c r="C441" s="6">
        <v>3302</v>
      </c>
      <c r="D441" s="6">
        <v>3302</v>
      </c>
      <c r="E441" s="6">
        <v>3302</v>
      </c>
      <c r="F441" s="6">
        <v>3302</v>
      </c>
      <c r="H441" s="6"/>
      <c r="I441" s="6"/>
    </row>
    <row r="442" spans="2:9" ht="15" customHeight="1">
      <c r="B442" s="6" t="s">
        <v>46</v>
      </c>
      <c r="C442" s="6">
        <v>2011</v>
      </c>
      <c r="D442" s="6">
        <v>2011</v>
      </c>
      <c r="E442" s="6">
        <v>2011</v>
      </c>
      <c r="F442" s="6">
        <v>2011</v>
      </c>
      <c r="H442" s="6"/>
      <c r="I442" s="6"/>
    </row>
    <row r="443" spans="2:9" ht="15" customHeight="1">
      <c r="B443" s="6" t="s">
        <v>48</v>
      </c>
      <c r="C443" s="6">
        <v>2014</v>
      </c>
      <c r="D443" s="6">
        <v>2014</v>
      </c>
      <c r="E443" s="6">
        <v>2014</v>
      </c>
      <c r="F443" s="6">
        <v>2014</v>
      </c>
      <c r="H443" s="6"/>
      <c r="I443" s="6"/>
    </row>
    <row r="444" spans="2:9" ht="15" customHeight="1">
      <c r="B444" s="6" t="s">
        <v>49</v>
      </c>
      <c r="C444" s="6">
        <v>2015</v>
      </c>
      <c r="D444" s="6">
        <v>2015</v>
      </c>
      <c r="E444" s="6">
        <v>2015</v>
      </c>
      <c r="F444" s="6">
        <v>2015</v>
      </c>
      <c r="H444" s="6"/>
      <c r="I444" s="6"/>
    </row>
    <row r="445" spans="2:9" ht="15" customHeight="1">
      <c r="B445" s="6" t="s">
        <v>50</v>
      </c>
      <c r="C445" s="6">
        <v>2016</v>
      </c>
      <c r="D445" s="6">
        <v>2016</v>
      </c>
      <c r="E445" s="6">
        <v>2016</v>
      </c>
      <c r="F445" s="6">
        <v>2016</v>
      </c>
      <c r="H445" s="6"/>
      <c r="I445" s="6"/>
    </row>
    <row r="446" spans="2:9" ht="15" customHeight="1">
      <c r="B446" s="6" t="s">
        <v>51</v>
      </c>
      <c r="C446" s="6">
        <v>2017</v>
      </c>
      <c r="D446" s="6">
        <v>2017</v>
      </c>
      <c r="E446" s="6">
        <v>2017</v>
      </c>
      <c r="F446" s="6">
        <v>2017</v>
      </c>
      <c r="H446" s="6"/>
      <c r="I446" s="6"/>
    </row>
    <row r="447" spans="2:9" ht="15" customHeight="1">
      <c r="B447" s="6" t="s">
        <v>52</v>
      </c>
      <c r="C447" s="6">
        <v>2073</v>
      </c>
      <c r="D447" s="6">
        <v>2073</v>
      </c>
      <c r="E447" s="6">
        <v>2073</v>
      </c>
      <c r="F447" s="6">
        <v>2073</v>
      </c>
      <c r="H447" s="6"/>
      <c r="I447" s="6"/>
    </row>
    <row r="448" spans="2:9" ht="15" customHeight="1">
      <c r="B448" s="6" t="s">
        <v>53</v>
      </c>
      <c r="C448" s="6">
        <v>2019</v>
      </c>
      <c r="D448" s="6">
        <v>2019</v>
      </c>
      <c r="E448" s="6">
        <v>2019</v>
      </c>
      <c r="F448" s="6">
        <v>2019</v>
      </c>
      <c r="H448" s="6"/>
      <c r="I448" s="6"/>
    </row>
    <row r="449" spans="2:6" ht="15" customHeight="1">
      <c r="B449" s="6" t="s">
        <v>367</v>
      </c>
      <c r="C449" s="6">
        <v>2021</v>
      </c>
      <c r="D449" s="6">
        <v>2021</v>
      </c>
      <c r="E449" s="6">
        <v>2021</v>
      </c>
      <c r="F449" s="6">
        <v>2021</v>
      </c>
    </row>
    <row r="450" spans="2:6" ht="15" customHeight="1">
      <c r="B450" s="6" t="s">
        <v>338</v>
      </c>
      <c r="C450" s="6">
        <v>2023</v>
      </c>
      <c r="D450" s="6">
        <v>2023</v>
      </c>
      <c r="E450" s="6">
        <v>2023</v>
      </c>
      <c r="F450" s="6">
        <v>2023</v>
      </c>
    </row>
    <row r="451" spans="2:6" ht="15" customHeight="1">
      <c r="B451" s="6" t="s">
        <v>58</v>
      </c>
      <c r="C451" s="6">
        <v>2024</v>
      </c>
      <c r="D451" s="6">
        <v>2024</v>
      </c>
      <c r="E451" s="6">
        <v>2024</v>
      </c>
      <c r="F451" s="6">
        <v>2024</v>
      </c>
    </row>
    <row r="452" spans="2:6" ht="15" customHeight="1">
      <c r="B452" s="6" t="s">
        <v>59</v>
      </c>
      <c r="C452" s="6">
        <v>2025</v>
      </c>
      <c r="D452" s="6">
        <v>2025</v>
      </c>
      <c r="E452" s="6">
        <v>2025</v>
      </c>
      <c r="F452" s="6">
        <v>2025</v>
      </c>
    </row>
    <row r="453" spans="2:6" ht="15" customHeight="1">
      <c r="B453" s="6" t="s">
        <v>60</v>
      </c>
      <c r="C453" s="6">
        <v>2026</v>
      </c>
      <c r="D453" s="6">
        <v>2026</v>
      </c>
      <c r="E453" s="6">
        <v>2026</v>
      </c>
      <c r="F453" s="6">
        <v>2026</v>
      </c>
    </row>
    <row r="454" spans="2:6" ht="15" customHeight="1">
      <c r="B454" s="6" t="s">
        <v>61</v>
      </c>
      <c r="C454" s="6">
        <v>2028</v>
      </c>
      <c r="D454" s="6">
        <v>2028</v>
      </c>
      <c r="E454" s="6">
        <v>2028</v>
      </c>
      <c r="F454" s="6">
        <v>2028</v>
      </c>
    </row>
    <row r="455" spans="2:6" ht="15" customHeight="1">
      <c r="B455" s="6" t="s">
        <v>62</v>
      </c>
      <c r="C455" s="6">
        <v>2027</v>
      </c>
      <c r="D455" s="6">
        <v>2027</v>
      </c>
      <c r="E455" s="6">
        <v>2027</v>
      </c>
      <c r="F455" s="6">
        <v>2027</v>
      </c>
    </row>
    <row r="456" spans="2:6" ht="15" customHeight="1">
      <c r="B456" s="6" t="s">
        <v>63</v>
      </c>
      <c r="C456" s="6">
        <v>2029</v>
      </c>
      <c r="D456" s="6">
        <v>2029</v>
      </c>
      <c r="E456" s="6">
        <v>2029</v>
      </c>
      <c r="F456" s="6">
        <v>2029</v>
      </c>
    </row>
    <row r="457" spans="2:6" ht="15" customHeight="1">
      <c r="B457" s="6" t="s">
        <v>64</v>
      </c>
      <c r="C457" s="6">
        <v>3516</v>
      </c>
      <c r="D457" s="6">
        <v>3516</v>
      </c>
      <c r="E457" s="6">
        <v>3516</v>
      </c>
      <c r="F457" s="6">
        <v>3516</v>
      </c>
    </row>
    <row r="458" spans="2:6" ht="15" customHeight="1">
      <c r="B458" s="6" t="s">
        <v>65</v>
      </c>
      <c r="C458" s="6">
        <v>2031</v>
      </c>
      <c r="D458" s="6">
        <v>2031</v>
      </c>
      <c r="E458" s="6">
        <v>2031</v>
      </c>
      <c r="F458" s="6">
        <v>2031</v>
      </c>
    </row>
    <row r="459" spans="2:6" ht="15" customHeight="1">
      <c r="B459" s="6" t="s">
        <v>66</v>
      </c>
      <c r="C459" s="6">
        <v>2032</v>
      </c>
      <c r="D459" s="6">
        <v>2032</v>
      </c>
      <c r="E459" s="6">
        <v>2032</v>
      </c>
      <c r="F459" s="6">
        <v>2032</v>
      </c>
    </row>
    <row r="460" spans="2:6" ht="15" customHeight="1">
      <c r="B460" s="6" t="s">
        <v>67</v>
      </c>
      <c r="C460" s="6">
        <v>3304</v>
      </c>
      <c r="D460" s="6">
        <v>3304</v>
      </c>
      <c r="E460" s="6">
        <v>3304</v>
      </c>
      <c r="F460" s="6">
        <v>3304</v>
      </c>
    </row>
    <row r="461" spans="2:6" ht="15" customHeight="1">
      <c r="B461" s="6" t="s">
        <v>68</v>
      </c>
      <c r="C461" s="6">
        <v>2036</v>
      </c>
      <c r="D461" s="6">
        <v>2036</v>
      </c>
      <c r="E461" s="6">
        <v>2036</v>
      </c>
      <c r="F461" s="6">
        <v>2036</v>
      </c>
    </row>
    <row r="462" spans="2:6" ht="15" customHeight="1">
      <c r="B462" s="6" t="s">
        <v>69</v>
      </c>
      <c r="C462" s="6">
        <v>2037</v>
      </c>
      <c r="D462" s="6">
        <v>2037</v>
      </c>
      <c r="E462" s="6">
        <v>2037</v>
      </c>
      <c r="F462" s="6">
        <v>2037</v>
      </c>
    </row>
    <row r="463" spans="2:6" ht="15" customHeight="1">
      <c r="B463" s="6" t="s">
        <v>70</v>
      </c>
      <c r="C463" s="6">
        <v>3523</v>
      </c>
      <c r="D463" s="6">
        <v>3523</v>
      </c>
      <c r="E463" s="6">
        <v>3523</v>
      </c>
      <c r="F463" s="6">
        <v>3523</v>
      </c>
    </row>
    <row r="464" spans="2:6" ht="15" customHeight="1">
      <c r="B464" s="6" t="s">
        <v>71</v>
      </c>
      <c r="C464" s="6">
        <v>5948</v>
      </c>
      <c r="D464" s="6">
        <v>5948</v>
      </c>
      <c r="E464" s="6">
        <v>5948</v>
      </c>
      <c r="F464" s="6">
        <v>5948</v>
      </c>
    </row>
    <row r="465" spans="2:6" ht="15" customHeight="1">
      <c r="B465" s="6" t="s">
        <v>72</v>
      </c>
      <c r="C465" s="6">
        <v>5949</v>
      </c>
      <c r="D465" s="6">
        <v>5949</v>
      </c>
      <c r="E465" s="6">
        <v>5949</v>
      </c>
      <c r="F465" s="6">
        <v>5949</v>
      </c>
    </row>
    <row r="466" spans="2:6" ht="15" customHeight="1">
      <c r="B466" s="6" t="s">
        <v>73</v>
      </c>
      <c r="C466" s="6">
        <v>3513</v>
      </c>
      <c r="D466" s="6">
        <v>3513</v>
      </c>
      <c r="E466" s="6">
        <v>3513</v>
      </c>
      <c r="F466" s="6">
        <v>3513</v>
      </c>
    </row>
    <row r="467" spans="2:6" ht="15" customHeight="1">
      <c r="B467" s="6" t="s">
        <v>74</v>
      </c>
      <c r="C467" s="6">
        <v>3305</v>
      </c>
      <c r="D467" s="6">
        <v>3305</v>
      </c>
      <c r="E467" s="6">
        <v>3305</v>
      </c>
      <c r="F467" s="6">
        <v>3305</v>
      </c>
    </row>
    <row r="468" spans="2:6" ht="15" customHeight="1">
      <c r="B468" s="6" t="s">
        <v>75</v>
      </c>
      <c r="C468" s="6">
        <v>2042</v>
      </c>
      <c r="D468" s="6">
        <v>2042</v>
      </c>
      <c r="E468" s="6">
        <v>2042</v>
      </c>
      <c r="F468" s="6">
        <v>2042</v>
      </c>
    </row>
    <row r="469" spans="2:6" ht="15" customHeight="1">
      <c r="B469" s="6" t="s">
        <v>76</v>
      </c>
      <c r="C469" s="6">
        <v>2044</v>
      </c>
      <c r="D469" s="6">
        <v>2044</v>
      </c>
      <c r="E469" s="6">
        <v>2044</v>
      </c>
      <c r="F469" s="6">
        <v>2044</v>
      </c>
    </row>
    <row r="470" spans="2:6" ht="15" customHeight="1">
      <c r="B470" s="6" t="s">
        <v>77</v>
      </c>
      <c r="C470" s="6">
        <v>2043</v>
      </c>
      <c r="D470" s="6">
        <v>2043</v>
      </c>
      <c r="E470" s="6">
        <v>2043</v>
      </c>
      <c r="F470" s="6">
        <v>2043</v>
      </c>
    </row>
    <row r="471" spans="2:6" ht="15" customHeight="1">
      <c r="B471" s="6" t="s">
        <v>78</v>
      </c>
      <c r="C471" s="6">
        <v>2045</v>
      </c>
      <c r="D471" s="6">
        <v>2045</v>
      </c>
      <c r="E471" s="6">
        <v>2045</v>
      </c>
      <c r="F471" s="6">
        <v>2045</v>
      </c>
    </row>
    <row r="472" spans="2:6" ht="15" customHeight="1">
      <c r="B472" s="6" t="s">
        <v>79</v>
      </c>
      <c r="C472" s="6">
        <v>2077</v>
      </c>
      <c r="D472" s="6">
        <v>2077</v>
      </c>
      <c r="E472" s="6">
        <v>2077</v>
      </c>
      <c r="F472" s="6">
        <v>2077</v>
      </c>
    </row>
    <row r="473" spans="2:6" ht="15" customHeight="1">
      <c r="B473" s="6" t="s">
        <v>80</v>
      </c>
      <c r="C473" s="6">
        <v>5201</v>
      </c>
      <c r="D473" s="6">
        <v>5201</v>
      </c>
      <c r="E473" s="6">
        <v>5201</v>
      </c>
      <c r="F473" s="6">
        <v>5201</v>
      </c>
    </row>
    <row r="474" spans="2:6" ht="15" customHeight="1">
      <c r="B474" s="6" t="s">
        <v>81</v>
      </c>
      <c r="C474" s="6">
        <v>3501</v>
      </c>
      <c r="D474" s="6">
        <v>3501</v>
      </c>
      <c r="E474" s="6">
        <v>3501</v>
      </c>
      <c r="F474" s="6">
        <v>3501</v>
      </c>
    </row>
    <row r="475" spans="2:6" ht="15" customHeight="1">
      <c r="B475" s="6" t="s">
        <v>82</v>
      </c>
      <c r="C475" s="6">
        <v>2078</v>
      </c>
      <c r="D475" s="6">
        <v>2078</v>
      </c>
      <c r="E475" s="6">
        <v>2078</v>
      </c>
      <c r="F475" s="6">
        <v>2078</v>
      </c>
    </row>
    <row r="476" spans="2:6" ht="15" customHeight="1">
      <c r="B476" s="6" t="s">
        <v>487</v>
      </c>
      <c r="C476" s="6">
        <v>2072</v>
      </c>
      <c r="D476" s="6">
        <v>2072</v>
      </c>
      <c r="E476" s="6">
        <v>2072</v>
      </c>
      <c r="F476" s="6">
        <v>2072</v>
      </c>
    </row>
    <row r="477" spans="2:6" ht="15" customHeight="1">
      <c r="B477" s="6" t="s">
        <v>85</v>
      </c>
      <c r="C477" s="6">
        <v>3512</v>
      </c>
      <c r="D477" s="6">
        <v>3512</v>
      </c>
      <c r="E477" s="6">
        <v>3512</v>
      </c>
      <c r="F477" s="6">
        <v>3512</v>
      </c>
    </row>
    <row r="478" spans="2:6" ht="15" customHeight="1">
      <c r="B478" s="6" t="s">
        <v>86</v>
      </c>
      <c r="C478" s="6">
        <v>3510</v>
      </c>
      <c r="D478" s="6">
        <v>3510</v>
      </c>
      <c r="E478" s="6">
        <v>3510</v>
      </c>
      <c r="F478" s="6">
        <v>3510</v>
      </c>
    </row>
    <row r="479" spans="2:6" ht="15" customHeight="1">
      <c r="B479" s="6" t="s">
        <v>395</v>
      </c>
      <c r="C479" s="6">
        <v>2053</v>
      </c>
      <c r="D479" s="6">
        <v>2053</v>
      </c>
      <c r="E479" s="6">
        <v>2053</v>
      </c>
      <c r="F479" s="6">
        <v>2053</v>
      </c>
    </row>
    <row r="480" spans="2:6" ht="15" customHeight="1">
      <c r="B480" s="6" t="s">
        <v>87</v>
      </c>
      <c r="C480" s="6">
        <v>3502</v>
      </c>
      <c r="D480" s="6">
        <v>3502</v>
      </c>
      <c r="E480" s="6">
        <v>3502</v>
      </c>
      <c r="F480" s="6">
        <v>3502</v>
      </c>
    </row>
    <row r="481" spans="2:6" ht="15" customHeight="1">
      <c r="B481" s="6" t="s">
        <v>88</v>
      </c>
      <c r="C481" s="6">
        <v>3315</v>
      </c>
      <c r="D481" s="6">
        <v>3315</v>
      </c>
      <c r="E481" s="6">
        <v>3315</v>
      </c>
      <c r="F481" s="6">
        <v>3315</v>
      </c>
    </row>
    <row r="482" spans="2:6" ht="15" customHeight="1">
      <c r="B482" s="6" t="s">
        <v>89</v>
      </c>
      <c r="C482" s="6">
        <v>3504</v>
      </c>
      <c r="D482" s="6">
        <v>3504</v>
      </c>
      <c r="E482" s="6">
        <v>3504</v>
      </c>
      <c r="F482" s="6">
        <v>3504</v>
      </c>
    </row>
    <row r="483" spans="2:6" ht="15" customHeight="1">
      <c r="B483" s="6" t="s">
        <v>90</v>
      </c>
      <c r="C483" s="6">
        <v>3307</v>
      </c>
      <c r="D483" s="6">
        <v>3307</v>
      </c>
      <c r="E483" s="6">
        <v>3307</v>
      </c>
      <c r="F483" s="6">
        <v>3307</v>
      </c>
    </row>
    <row r="484" spans="2:6" ht="15" customHeight="1">
      <c r="B484" s="6" t="s">
        <v>91</v>
      </c>
      <c r="C484" s="6">
        <v>3309</v>
      </c>
      <c r="D484" s="6">
        <v>3309</v>
      </c>
      <c r="E484" s="6">
        <v>3309</v>
      </c>
      <c r="F484" s="6">
        <v>3309</v>
      </c>
    </row>
    <row r="485" spans="2:6" ht="15" customHeight="1">
      <c r="B485" s="6" t="s">
        <v>388</v>
      </c>
      <c r="C485" s="6">
        <v>3509</v>
      </c>
      <c r="D485" s="6">
        <v>3509</v>
      </c>
      <c r="E485" s="6">
        <v>3509</v>
      </c>
      <c r="F485" s="6">
        <v>3509</v>
      </c>
    </row>
    <row r="486" spans="2:6" ht="15" customHeight="1">
      <c r="B486" s="6" t="s">
        <v>95</v>
      </c>
      <c r="C486" s="6">
        <v>3312</v>
      </c>
      <c r="D486" s="6">
        <v>3312</v>
      </c>
      <c r="E486" s="6">
        <v>3312</v>
      </c>
      <c r="F486" s="6">
        <v>3312</v>
      </c>
    </row>
    <row r="487" spans="2:6" ht="15" customHeight="1">
      <c r="B487" s="6" t="s">
        <v>96</v>
      </c>
      <c r="C487" s="6">
        <v>3311</v>
      </c>
      <c r="D487" s="6">
        <v>3311</v>
      </c>
      <c r="E487" s="6">
        <v>3311</v>
      </c>
      <c r="F487" s="6">
        <v>3311</v>
      </c>
    </row>
    <row r="488" spans="2:6" ht="15" customHeight="1">
      <c r="B488" s="6" t="s">
        <v>97</v>
      </c>
      <c r="C488" s="6">
        <v>3313</v>
      </c>
      <c r="D488" s="6">
        <v>3313</v>
      </c>
      <c r="E488" s="6">
        <v>3313</v>
      </c>
      <c r="F488" s="6">
        <v>3313</v>
      </c>
    </row>
    <row r="489" spans="2:6" ht="15" customHeight="1">
      <c r="B489" s="6" t="s">
        <v>98</v>
      </c>
      <c r="C489" s="6">
        <v>3314</v>
      </c>
      <c r="D489" s="6">
        <v>3314</v>
      </c>
      <c r="E489" s="6">
        <v>3314</v>
      </c>
      <c r="F489" s="6">
        <v>3314</v>
      </c>
    </row>
    <row r="490" spans="2:6" ht="15" customHeight="1">
      <c r="B490" s="6" t="s">
        <v>99</v>
      </c>
      <c r="C490" s="6">
        <v>3507</v>
      </c>
      <c r="D490" s="6">
        <v>3507</v>
      </c>
      <c r="E490" s="6">
        <v>3507</v>
      </c>
      <c r="F490" s="6">
        <v>3507</v>
      </c>
    </row>
    <row r="491" spans="2:6" ht="15" customHeight="1">
      <c r="B491" s="6" t="s">
        <v>100</v>
      </c>
      <c r="C491" s="6">
        <v>3506</v>
      </c>
      <c r="D491" s="6">
        <v>3506</v>
      </c>
      <c r="E491" s="6">
        <v>3506</v>
      </c>
      <c r="F491" s="6">
        <v>3506</v>
      </c>
    </row>
    <row r="492" spans="2:6" ht="15" customHeight="1">
      <c r="B492" s="6" t="s">
        <v>102</v>
      </c>
      <c r="C492" s="6">
        <v>2070</v>
      </c>
      <c r="D492" s="6">
        <v>2070</v>
      </c>
      <c r="E492" s="6">
        <v>2070</v>
      </c>
      <c r="F492" s="6">
        <v>2070</v>
      </c>
    </row>
    <row r="493" spans="2:6" ht="15" customHeight="1">
      <c r="B493" s="6" t="s">
        <v>103</v>
      </c>
      <c r="C493" s="6">
        <v>3316</v>
      </c>
      <c r="D493" s="6">
        <v>3316</v>
      </c>
      <c r="E493" s="6">
        <v>3316</v>
      </c>
      <c r="F493" s="6">
        <v>3316</v>
      </c>
    </row>
    <row r="494" spans="2:6" ht="15" customHeight="1">
      <c r="B494" s="6" t="s">
        <v>104</v>
      </c>
      <c r="C494" s="6">
        <v>2055</v>
      </c>
      <c r="D494" s="6">
        <v>2055</v>
      </c>
      <c r="E494" s="6">
        <v>2055</v>
      </c>
      <c r="F494" s="6">
        <v>2055</v>
      </c>
    </row>
    <row r="495" spans="2:6" ht="15" customHeight="1">
      <c r="B495" s="6" t="s">
        <v>356</v>
      </c>
      <c r="C495" s="6">
        <v>2057</v>
      </c>
      <c r="D495" s="6">
        <v>2057</v>
      </c>
      <c r="E495" s="6">
        <v>2057</v>
      </c>
      <c r="F495" s="6">
        <v>2057</v>
      </c>
    </row>
    <row r="496" spans="2:6" ht="15" customHeight="1">
      <c r="B496" s="6" t="s">
        <v>107</v>
      </c>
      <c r="C496" s="6">
        <v>2076</v>
      </c>
      <c r="D496" s="6">
        <v>2076</v>
      </c>
      <c r="E496" s="6">
        <v>2076</v>
      </c>
      <c r="F496" s="6">
        <v>2076</v>
      </c>
    </row>
    <row r="497" spans="2:6" ht="15" customHeight="1">
      <c r="B497" s="6" t="s">
        <v>108</v>
      </c>
      <c r="C497" s="6">
        <v>2060</v>
      </c>
      <c r="D497" s="6">
        <v>2060</v>
      </c>
      <c r="E497" s="6">
        <v>2060</v>
      </c>
      <c r="F497" s="6">
        <v>2060</v>
      </c>
    </row>
    <row r="498" spans="2:6" ht="15" customHeight="1">
      <c r="B498" s="6" t="s">
        <v>109</v>
      </c>
      <c r="C498" s="6">
        <v>3518</v>
      </c>
      <c r="D498" s="6">
        <v>3518</v>
      </c>
      <c r="E498" s="6">
        <v>3518</v>
      </c>
      <c r="F498" s="6">
        <v>3518</v>
      </c>
    </row>
    <row r="499" spans="2:6" ht="15" customHeight="1">
      <c r="B499" s="6" t="s">
        <v>110</v>
      </c>
      <c r="C499" s="6">
        <v>2054</v>
      </c>
      <c r="D499" s="6">
        <v>2054</v>
      </c>
      <c r="E499" s="6">
        <v>2054</v>
      </c>
      <c r="F499" s="6">
        <v>2054</v>
      </c>
    </row>
    <row r="500" spans="2:6" ht="15" customHeight="1">
      <c r="B500" s="6"/>
      <c r="C500" s="6"/>
      <c r="D500" s="6"/>
      <c r="E500" s="6"/>
      <c r="F500" s="6"/>
    </row>
    <row r="501" spans="2:6" ht="15" customHeight="1">
      <c r="B501" s="8" t="s">
        <v>389</v>
      </c>
      <c r="C501" s="6">
        <v>3521</v>
      </c>
      <c r="D501" s="6">
        <v>3521</v>
      </c>
      <c r="E501" s="6">
        <v>3521</v>
      </c>
      <c r="F501" s="6">
        <v>3521</v>
      </c>
    </row>
    <row r="502" spans="2:6" ht="15" customHeight="1">
      <c r="B502" s="6"/>
      <c r="C502" s="6"/>
      <c r="D502" s="6"/>
      <c r="E502" s="6"/>
      <c r="F502" s="6"/>
    </row>
    <row r="503" spans="2:6" ht="15" customHeight="1">
      <c r="B503" s="6" t="s">
        <v>112</v>
      </c>
      <c r="C503" s="6">
        <v>5405</v>
      </c>
      <c r="D503" s="6">
        <v>5405</v>
      </c>
      <c r="E503" s="6">
        <v>5405</v>
      </c>
      <c r="F503" s="6">
        <v>5405</v>
      </c>
    </row>
    <row r="504" spans="2:6" ht="15" customHeight="1">
      <c r="B504" s="6" t="s">
        <v>113</v>
      </c>
      <c r="C504" s="6">
        <v>4003</v>
      </c>
      <c r="D504" s="6">
        <v>4003</v>
      </c>
      <c r="E504" s="6">
        <v>4003</v>
      </c>
      <c r="F504" s="6">
        <v>4003</v>
      </c>
    </row>
    <row r="505" spans="2:6" ht="15" customHeight="1">
      <c r="B505" s="6" t="s">
        <v>355</v>
      </c>
      <c r="C505" s="6">
        <v>4004</v>
      </c>
      <c r="D505" s="6">
        <v>4004</v>
      </c>
      <c r="E505" s="6">
        <v>4004</v>
      </c>
      <c r="F505" s="6">
        <v>4004</v>
      </c>
    </row>
    <row r="506" spans="2:6" ht="15" customHeight="1">
      <c r="B506" s="16" t="s">
        <v>301</v>
      </c>
      <c r="C506" s="6">
        <v>5427</v>
      </c>
      <c r="D506" s="6">
        <v>5427</v>
      </c>
      <c r="E506" s="6">
        <v>5427</v>
      </c>
      <c r="F506" s="6">
        <v>5427</v>
      </c>
    </row>
    <row r="507" spans="2:6" ht="15" customHeight="1">
      <c r="B507" s="6" t="s">
        <v>332</v>
      </c>
      <c r="C507" s="6">
        <v>5407</v>
      </c>
      <c r="D507" s="6">
        <v>5407</v>
      </c>
      <c r="E507" s="6">
        <v>5407</v>
      </c>
      <c r="F507" s="6">
        <v>5407</v>
      </c>
    </row>
    <row r="508" spans="2:6" ht="15" customHeight="1">
      <c r="B508" s="6" t="s">
        <v>116</v>
      </c>
      <c r="C508" s="6">
        <v>5404</v>
      </c>
      <c r="D508" s="6">
        <v>5404</v>
      </c>
      <c r="E508" s="6">
        <v>5404</v>
      </c>
      <c r="F508" s="6">
        <v>5404</v>
      </c>
    </row>
    <row r="509" spans="2:6" ht="15" customHeight="1">
      <c r="B509" s="6"/>
      <c r="C509" s="6"/>
      <c r="D509" s="6"/>
      <c r="E509" s="6"/>
      <c r="F509" s="6"/>
    </row>
    <row r="510" spans="2:6" ht="12.75" customHeight="1">
      <c r="B510" s="6" t="s">
        <v>117</v>
      </c>
      <c r="C510" s="6">
        <v>7010</v>
      </c>
      <c r="D510" s="6">
        <v>7010</v>
      </c>
      <c r="E510" s="6">
        <v>7010</v>
      </c>
      <c r="F510" s="6">
        <v>7010</v>
      </c>
    </row>
    <row r="511" spans="2:6" ht="15" customHeight="1">
      <c r="B511" s="6" t="s">
        <v>118</v>
      </c>
      <c r="C511" s="6">
        <v>7005</v>
      </c>
      <c r="D511" s="6">
        <v>7005</v>
      </c>
      <c r="E511" s="6">
        <v>7005</v>
      </c>
      <c r="F511" s="6">
        <v>7005</v>
      </c>
    </row>
    <row r="512" spans="2:6" ht="15" customHeight="1">
      <c r="B512" s="6" t="s">
        <v>120</v>
      </c>
      <c r="C512" s="6">
        <v>7009</v>
      </c>
      <c r="D512" s="6">
        <v>7009</v>
      </c>
      <c r="E512" s="6">
        <v>7009</v>
      </c>
      <c r="F512" s="6">
        <v>7009</v>
      </c>
    </row>
    <row r="513" spans="2:6" ht="15" customHeight="1"/>
    <row r="514" spans="2:6" ht="15" customHeight="1">
      <c r="B514" s="6" t="s">
        <v>310</v>
      </c>
      <c r="C514" s="6">
        <v>1102</v>
      </c>
      <c r="D514" s="6">
        <v>1102</v>
      </c>
      <c r="E514" s="6">
        <v>1102</v>
      </c>
      <c r="F514" s="6">
        <v>1102</v>
      </c>
    </row>
    <row r="515" spans="2:6" ht="15" customHeight="1">
      <c r="B515" s="6" t="s">
        <v>308</v>
      </c>
      <c r="C515" s="6">
        <v>1100</v>
      </c>
      <c r="D515" s="6">
        <v>1100</v>
      </c>
      <c r="E515" s="6">
        <v>1100</v>
      </c>
      <c r="F515" s="6">
        <v>1100</v>
      </c>
    </row>
    <row r="516" spans="2:6" ht="15" customHeight="1"/>
    <row r="517" spans="2:6" ht="15" customHeight="1"/>
    <row r="518" spans="2:6" ht="15" customHeight="1"/>
    <row r="519" spans="2:6" ht="15" customHeight="1">
      <c r="B519" s="6"/>
      <c r="C519" s="6"/>
      <c r="D519" s="6"/>
      <c r="E519" s="6"/>
      <c r="F519" s="6"/>
    </row>
    <row r="520" spans="2:6" ht="15" customHeight="1">
      <c r="B520" s="6"/>
      <c r="C520" s="6"/>
      <c r="D520" s="6"/>
      <c r="E520" s="6"/>
      <c r="F520" s="6"/>
    </row>
    <row r="521" spans="2:6" ht="15" customHeight="1">
      <c r="B521" s="6"/>
      <c r="C521" s="6"/>
      <c r="D521" s="6"/>
      <c r="E521" s="6"/>
      <c r="F521" s="6"/>
    </row>
    <row r="522" spans="2:6" ht="15" customHeight="1">
      <c r="B522" s="6"/>
      <c r="C522" s="6"/>
      <c r="D522" s="6"/>
      <c r="E522" s="6"/>
      <c r="F522" s="6"/>
    </row>
    <row r="523" spans="2:6" ht="15" customHeight="1">
      <c r="B523" s="6"/>
      <c r="C523" s="6"/>
      <c r="D523" s="6"/>
      <c r="E523" s="6"/>
      <c r="F523" s="6"/>
    </row>
    <row r="524" spans="2:6" ht="15" customHeight="1"/>
    <row r="525" spans="2:6" ht="12.75" customHeight="1"/>
    <row r="526" spans="2:6" ht="15" customHeight="1"/>
    <row r="527" spans="2:6" ht="12.75" customHeight="1"/>
    <row r="528" spans="2:6" ht="12.75" customHeight="1"/>
    <row r="529" ht="12.75" customHeight="1"/>
  </sheetData>
  <sheetProtection algorithmName="SHA-512" hashValue="kdOs7o4GM09753llBQdAUKcXWR2uMMSFMtYdbVP9/JB+rMM8SBJ5rtAxQLYigUSQDfGAT+UL8PthyZHNXhQYug==" saltValue="PKFezmXx1j/W1iQT6BGg5w==" spinCount="100000" sheet="1" formatCells="0" formatColumns="0" insertColumns="0"/>
  <mergeCells count="2">
    <mergeCell ref="A3:B3"/>
    <mergeCell ref="G6:L6"/>
  </mergeCells>
  <phoneticPr fontId="4" type="noConversion"/>
  <conditionalFormatting sqref="G37 G42 G47 G52 G57 G79:G81 G83 G92:G94 G66:G67 G10 G12:G13 G15:G16 G18:G19 G21:G22 G24:G25 G27:G28 G30:G31 G33:G34 G62:G64 G39:G40 G44:G45 G49:G50 G54:G55 G59:G60 G85:G86 G69:G77">
    <cfRule type="expression" dxfId="64" priority="71" stopIfTrue="1">
      <formula>$R$1="N"</formula>
    </cfRule>
  </conditionalFormatting>
  <conditionalFormatting sqref="H37 H42 H47 H52 H57 H79:H81 H83 H92:H94 H66:H67 H9:H10 H12:H13 H15:H16 H18:H19 H21:H22 H24:H25 H27:H28 H30:H31 H33:H34 H62:H64 H39:H40 H44:H45 H49:H50 H54:H55 H59:H60 H85:H86 H69:H77">
    <cfRule type="expression" dxfId="63" priority="72" stopIfTrue="1">
      <formula>$R$1="P"</formula>
    </cfRule>
  </conditionalFormatting>
  <conditionalFormatting sqref="I79:I81 I92:I94 I66:I67 I9:I10 I12:I13 I15:I16 I18:I19 I21:I22 I24:I25 I27:I28 I30:I31 I33:I34 I62:I64 I69:I77 I37:J37 I39:J40 I42:J42 I44:J45 I47:J47 I49:J50 I52:J52 I54:J55 I57:J57 I59:J60 I83:J83 I85:J86">
    <cfRule type="expression" dxfId="62" priority="73" stopIfTrue="1">
      <formula>$R$1="S"</formula>
    </cfRule>
  </conditionalFormatting>
  <conditionalFormatting sqref="K12:K13 K15:K16 K18:K19 K21:K22 K24:K25 K27:K28 K30:K31 K33:K34 K37 K42 K47 K52 K57 K66:K67 K79:K81 K83 K92:K94 K62:K64 K39 K44:K45 K49:K50 K54:K55 K59:K60 K85:K86 J72:K72 K9:K10 K69:K71 J75:K75 K73:K74 K76:K77">
    <cfRule type="expression" dxfId="61" priority="74" stopIfTrue="1">
      <formula>$R$1="C"</formula>
    </cfRule>
  </conditionalFormatting>
  <conditionalFormatting sqref="L9:L10 L12:L13 L15:L16 L18:L19 L21:L22 L24:L25 L27:L28 L30:L31 L33:L34 L37 L42 L47 L52 L57 L66:L67 L79:L81 L83 L92:L94 L62:L64 L39:L40 L44:L45 L49:L50 L54:L55 L59:L60 L85:L86 L69:L77">
    <cfRule type="expression" dxfId="60" priority="67" stopIfTrue="1">
      <formula>$R$1="PR"</formula>
    </cfRule>
  </conditionalFormatting>
  <conditionalFormatting sqref="G88:G90">
    <cfRule type="expression" dxfId="59" priority="58" stopIfTrue="1">
      <formula>$R$1="N"</formula>
    </cfRule>
  </conditionalFormatting>
  <conditionalFormatting sqref="H88:H90">
    <cfRule type="expression" dxfId="58" priority="59" stopIfTrue="1">
      <formula>$R$1="P"</formula>
    </cfRule>
  </conditionalFormatting>
  <conditionalFormatting sqref="I88:I90">
    <cfRule type="expression" dxfId="57" priority="60" stopIfTrue="1">
      <formula>$R$1="S"</formula>
    </cfRule>
  </conditionalFormatting>
  <conditionalFormatting sqref="K88:K90">
    <cfRule type="expression" dxfId="56" priority="61" stopIfTrue="1">
      <formula>$R$1="C"</formula>
    </cfRule>
  </conditionalFormatting>
  <conditionalFormatting sqref="L88:L90">
    <cfRule type="expression" dxfId="55" priority="57" stopIfTrue="1">
      <formula>$R$1="PR"</formula>
    </cfRule>
  </conditionalFormatting>
  <conditionalFormatting sqref="G9">
    <cfRule type="expression" dxfId="54" priority="56" stopIfTrue="1">
      <formula>$U$1="N"</formula>
    </cfRule>
  </conditionalFormatting>
  <conditionalFormatting sqref="G38">
    <cfRule type="expression" dxfId="53" priority="52" stopIfTrue="1">
      <formula>$R$1="N"</formula>
    </cfRule>
  </conditionalFormatting>
  <conditionalFormatting sqref="H38">
    <cfRule type="expression" dxfId="52" priority="53" stopIfTrue="1">
      <formula>$R$1="P"</formula>
    </cfRule>
  </conditionalFormatting>
  <conditionalFormatting sqref="I38:J38">
    <cfRule type="expression" dxfId="51" priority="54" stopIfTrue="1">
      <formula>$R$1="S"</formula>
    </cfRule>
  </conditionalFormatting>
  <conditionalFormatting sqref="K38">
    <cfRule type="expression" dxfId="50" priority="55" stopIfTrue="1">
      <formula>$R$1="C"</formula>
    </cfRule>
  </conditionalFormatting>
  <conditionalFormatting sqref="L38">
    <cfRule type="expression" dxfId="49" priority="51" stopIfTrue="1">
      <formula>$R$1="PR"</formula>
    </cfRule>
  </conditionalFormatting>
  <conditionalFormatting sqref="G43">
    <cfRule type="expression" dxfId="48" priority="47" stopIfTrue="1">
      <formula>$R$1="N"</formula>
    </cfRule>
  </conditionalFormatting>
  <conditionalFormatting sqref="H43">
    <cfRule type="expression" dxfId="47" priority="48" stopIfTrue="1">
      <formula>$R$1="P"</formula>
    </cfRule>
  </conditionalFormatting>
  <conditionalFormatting sqref="I43:J43">
    <cfRule type="expression" dxfId="46" priority="49" stopIfTrue="1">
      <formula>$R$1="S"</formula>
    </cfRule>
  </conditionalFormatting>
  <conditionalFormatting sqref="K43">
    <cfRule type="expression" dxfId="45" priority="50" stopIfTrue="1">
      <formula>$R$1="C"</formula>
    </cfRule>
  </conditionalFormatting>
  <conditionalFormatting sqref="L43">
    <cfRule type="expression" dxfId="44" priority="46" stopIfTrue="1">
      <formula>$R$1="PR"</formula>
    </cfRule>
  </conditionalFormatting>
  <conditionalFormatting sqref="G48">
    <cfRule type="expression" dxfId="43" priority="42" stopIfTrue="1">
      <formula>$R$1="N"</formula>
    </cfRule>
  </conditionalFormatting>
  <conditionalFormatting sqref="H48">
    <cfRule type="expression" dxfId="42" priority="43" stopIfTrue="1">
      <formula>$R$1="P"</formula>
    </cfRule>
  </conditionalFormatting>
  <conditionalFormatting sqref="I48:J48">
    <cfRule type="expression" dxfId="41" priority="44" stopIfTrue="1">
      <formula>$R$1="S"</formula>
    </cfRule>
  </conditionalFormatting>
  <conditionalFormatting sqref="K48">
    <cfRule type="expression" dxfId="40" priority="45" stopIfTrue="1">
      <formula>$R$1="C"</formula>
    </cfRule>
  </conditionalFormatting>
  <conditionalFormatting sqref="L48">
    <cfRule type="expression" dxfId="39" priority="41" stopIfTrue="1">
      <formula>$R$1="PR"</formula>
    </cfRule>
  </conditionalFormatting>
  <conditionalFormatting sqref="G53">
    <cfRule type="expression" dxfId="38" priority="37" stopIfTrue="1">
      <formula>$R$1="N"</formula>
    </cfRule>
  </conditionalFormatting>
  <conditionalFormatting sqref="H53">
    <cfRule type="expression" dxfId="37" priority="38" stopIfTrue="1">
      <formula>$R$1="P"</formula>
    </cfRule>
  </conditionalFormatting>
  <conditionalFormatting sqref="I53:J53">
    <cfRule type="expression" dxfId="36" priority="39" stopIfTrue="1">
      <formula>$R$1="S"</formula>
    </cfRule>
  </conditionalFormatting>
  <conditionalFormatting sqref="K53">
    <cfRule type="expression" dxfId="35" priority="40" stopIfTrue="1">
      <formula>$R$1="C"</formula>
    </cfRule>
  </conditionalFormatting>
  <conditionalFormatting sqref="L53">
    <cfRule type="expression" dxfId="34" priority="36" stopIfTrue="1">
      <formula>$R$1="PR"</formula>
    </cfRule>
  </conditionalFormatting>
  <conditionalFormatting sqref="G58">
    <cfRule type="expression" dxfId="33" priority="32" stopIfTrue="1">
      <formula>$R$1="N"</formula>
    </cfRule>
  </conditionalFormatting>
  <conditionalFormatting sqref="H58">
    <cfRule type="expression" dxfId="32" priority="33" stopIfTrue="1">
      <formula>$R$1="P"</formula>
    </cfRule>
  </conditionalFormatting>
  <conditionalFormatting sqref="I58:J58">
    <cfRule type="expression" dxfId="31" priority="34" stopIfTrue="1">
      <formula>$R$1="S"</formula>
    </cfRule>
  </conditionalFormatting>
  <conditionalFormatting sqref="K58">
    <cfRule type="expression" dxfId="30" priority="35" stopIfTrue="1">
      <formula>$R$1="C"</formula>
    </cfRule>
  </conditionalFormatting>
  <conditionalFormatting sqref="L58">
    <cfRule type="expression" dxfId="29" priority="31" stopIfTrue="1">
      <formula>$R$1="PR"</formula>
    </cfRule>
  </conditionalFormatting>
  <conditionalFormatting sqref="G84">
    <cfRule type="expression" dxfId="28" priority="27" stopIfTrue="1">
      <formula>$R$1="N"</formula>
    </cfRule>
  </conditionalFormatting>
  <conditionalFormatting sqref="H84">
    <cfRule type="expression" dxfId="27" priority="28" stopIfTrue="1">
      <formula>$R$1="P"</formula>
    </cfRule>
  </conditionalFormatting>
  <conditionalFormatting sqref="I84:J84">
    <cfRule type="expression" dxfId="26" priority="29" stopIfTrue="1">
      <formula>$R$1="S"</formula>
    </cfRule>
  </conditionalFormatting>
  <conditionalFormatting sqref="K84">
    <cfRule type="expression" dxfId="25" priority="30" stopIfTrue="1">
      <formula>$R$1="C"</formula>
    </cfRule>
  </conditionalFormatting>
  <conditionalFormatting sqref="L84">
    <cfRule type="expression" dxfId="24" priority="26" stopIfTrue="1">
      <formula>$R$1="PR"</formula>
    </cfRule>
  </conditionalFormatting>
  <conditionalFormatting sqref="G96">
    <cfRule type="expression" dxfId="23" priority="25" stopIfTrue="1">
      <formula>$R$1="N"</formula>
    </cfRule>
  </conditionalFormatting>
  <conditionalFormatting sqref="H96">
    <cfRule type="expression" dxfId="22" priority="22" stopIfTrue="1">
      <formula>$R$1="P"</formula>
    </cfRule>
  </conditionalFormatting>
  <conditionalFormatting sqref="I96:J96">
    <cfRule type="expression" dxfId="21" priority="23" stopIfTrue="1">
      <formula>$R$1="S"</formula>
    </cfRule>
  </conditionalFormatting>
  <conditionalFormatting sqref="K96">
    <cfRule type="expression" dxfId="20" priority="24" stopIfTrue="1">
      <formula>$R$1="C"</formula>
    </cfRule>
  </conditionalFormatting>
  <conditionalFormatting sqref="L96">
    <cfRule type="expression" dxfId="19" priority="21" stopIfTrue="1">
      <formula>$R$1="PR"</formula>
    </cfRule>
  </conditionalFormatting>
  <conditionalFormatting sqref="J9">
    <cfRule type="expression" dxfId="18" priority="19" stopIfTrue="1">
      <formula>$R$1="S"</formula>
    </cfRule>
  </conditionalFormatting>
  <conditionalFormatting sqref="J10">
    <cfRule type="expression" dxfId="17" priority="18" stopIfTrue="1">
      <formula>$R$1="S"</formula>
    </cfRule>
  </conditionalFormatting>
  <conditionalFormatting sqref="J12:J13">
    <cfRule type="expression" dxfId="16" priority="17" stopIfTrue="1">
      <formula>$R$1="S"</formula>
    </cfRule>
  </conditionalFormatting>
  <conditionalFormatting sqref="J15:J16">
    <cfRule type="expression" dxfId="15" priority="16" stopIfTrue="1">
      <formula>$R$1="S"</formula>
    </cfRule>
  </conditionalFormatting>
  <conditionalFormatting sqref="J18:J19">
    <cfRule type="expression" dxfId="14" priority="15" stopIfTrue="1">
      <formula>$R$1="S"</formula>
    </cfRule>
  </conditionalFormatting>
  <conditionalFormatting sqref="J21:J22">
    <cfRule type="expression" dxfId="13" priority="14" stopIfTrue="1">
      <formula>$R$1="S"</formula>
    </cfRule>
  </conditionalFormatting>
  <conditionalFormatting sqref="J24:J25">
    <cfRule type="expression" dxfId="12" priority="13" stopIfTrue="1">
      <formula>$R$1="S"</formula>
    </cfRule>
  </conditionalFormatting>
  <conditionalFormatting sqref="J27:J28">
    <cfRule type="expression" dxfId="11" priority="12" stopIfTrue="1">
      <formula>$R$1="S"</formula>
    </cfRule>
  </conditionalFormatting>
  <conditionalFormatting sqref="J30:J31">
    <cfRule type="expression" dxfId="10" priority="11" stopIfTrue="1">
      <formula>$R$1="S"</formula>
    </cfRule>
  </conditionalFormatting>
  <conditionalFormatting sqref="J33:J34">
    <cfRule type="expression" dxfId="9" priority="10" stopIfTrue="1">
      <formula>$R$1="S"</formula>
    </cfRule>
  </conditionalFormatting>
  <conditionalFormatting sqref="K40">
    <cfRule type="expression" dxfId="8" priority="9" stopIfTrue="1">
      <formula>$R$1="S"</formula>
    </cfRule>
  </conditionalFormatting>
  <conditionalFormatting sqref="J62:J64">
    <cfRule type="expression" dxfId="7" priority="8" stopIfTrue="1">
      <formula>$R$1="S"</formula>
    </cfRule>
  </conditionalFormatting>
  <conditionalFormatting sqref="J66:J67">
    <cfRule type="expression" dxfId="6" priority="7" stopIfTrue="1">
      <formula>$R$1="S"</formula>
    </cfRule>
  </conditionalFormatting>
  <conditionalFormatting sqref="J69:J71">
    <cfRule type="expression" dxfId="5" priority="6" stopIfTrue="1">
      <formula>$R$1="S"</formula>
    </cfRule>
  </conditionalFormatting>
  <conditionalFormatting sqref="J73:J74">
    <cfRule type="expression" dxfId="4" priority="5" stopIfTrue="1">
      <formula>$R$1="S"</formula>
    </cfRule>
  </conditionalFormatting>
  <conditionalFormatting sqref="J76:J77">
    <cfRule type="expression" dxfId="3" priority="4" stopIfTrue="1">
      <formula>$R$1="S"</formula>
    </cfRule>
  </conditionalFormatting>
  <conditionalFormatting sqref="J79:J81">
    <cfRule type="expression" dxfId="2" priority="3" stopIfTrue="1">
      <formula>$R$1="S"</formula>
    </cfRule>
  </conditionalFormatting>
  <conditionalFormatting sqref="J88:J90">
    <cfRule type="expression" dxfId="1" priority="2" stopIfTrue="1">
      <formula>$R$1="S"</formula>
    </cfRule>
  </conditionalFormatting>
  <conditionalFormatting sqref="J92:J94">
    <cfRule type="expression" dxfId="0" priority="1" stopIfTrue="1">
      <formula>$R$1="S"</formula>
    </cfRule>
  </conditionalFormatting>
  <dataValidations count="1">
    <dataValidation type="list" allowBlank="1" showInputMessage="1" showErrorMessage="1" sqref="C3:F3" xr:uid="{00000000-0002-0000-0000-000000000000}">
      <formula1>$B$422:$B$518</formula1>
    </dataValidation>
  </dataValidations>
  <pageMargins left="0" right="0" top="0" bottom="0" header="0" footer="0"/>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34"/>
  </sheetPr>
  <dimension ref="A1:HV113"/>
  <sheetViews>
    <sheetView zoomScaleNormal="100" workbookViewId="0">
      <pane xSplit="3" ySplit="3" topLeftCell="D79" activePane="bottomRight" state="frozen"/>
      <selection activeCell="A57" sqref="A57:IV57"/>
      <selection pane="topRight" activeCell="A57" sqref="A57:IV57"/>
      <selection pane="bottomLeft" activeCell="A57" sqref="A57:IV57"/>
      <selection pane="bottomRight" activeCell="C91" sqref="C91"/>
    </sheetView>
  </sheetViews>
  <sheetFormatPr defaultRowHeight="15"/>
  <cols>
    <col min="1" max="1" width="6.7109375" bestFit="1" customWidth="1"/>
    <col min="2" max="2" width="6.7109375" style="9" customWidth="1"/>
    <col min="3" max="3" width="28" customWidth="1"/>
    <col min="4" max="4" width="18.5703125" customWidth="1"/>
    <col min="5" max="5" width="13.28515625" customWidth="1"/>
    <col min="6" max="6" width="14.140625" customWidth="1"/>
    <col min="7" max="7" width="8.7109375" customWidth="1"/>
    <col min="8" max="8" width="17.7109375" customWidth="1"/>
    <col min="9" max="13" width="16.42578125" customWidth="1"/>
    <col min="14" max="15" width="14.42578125" customWidth="1"/>
    <col min="16" max="21" width="16.42578125" customWidth="1"/>
    <col min="22" max="22" width="19" customWidth="1"/>
    <col min="23" max="23" width="17.140625" customWidth="1"/>
    <col min="24" max="24" width="17.5703125" customWidth="1"/>
    <col min="25" max="25" width="18.140625" customWidth="1"/>
    <col min="26" max="26" width="17.42578125" customWidth="1"/>
    <col min="27" max="27" width="14.85546875" customWidth="1"/>
    <col min="28" max="28" width="17.85546875" customWidth="1"/>
    <col min="29" max="29" width="17.5703125" customWidth="1"/>
    <col min="30" max="30" width="17" customWidth="1"/>
    <col min="31" max="31" width="16.42578125" customWidth="1"/>
    <col min="32" max="32" width="14.7109375" customWidth="1"/>
    <col min="33" max="33" width="16.28515625" customWidth="1"/>
    <col min="34" max="34" width="15.42578125" customWidth="1"/>
    <col min="35" max="35" width="16.42578125" customWidth="1"/>
    <col min="36" max="36" width="14.28515625" customWidth="1"/>
    <col min="37" max="38" width="16.42578125" customWidth="1"/>
    <col min="39" max="39" width="15.5703125" customWidth="1"/>
    <col min="40" max="44" width="16.42578125" customWidth="1"/>
    <col min="45" max="45" width="14.85546875" customWidth="1"/>
    <col min="46" max="46" width="16.140625" customWidth="1"/>
    <col min="47" max="49" width="16.42578125" customWidth="1"/>
    <col min="50" max="51" width="14.28515625" customWidth="1"/>
    <col min="52" max="54" width="16.42578125" customWidth="1"/>
    <col min="55" max="56" width="20.28515625" bestFit="1" customWidth="1"/>
    <col min="57" max="57" width="18.28515625" customWidth="1"/>
    <col min="58" max="58" width="17.7109375" customWidth="1"/>
    <col min="59" max="59" width="19.140625" customWidth="1"/>
    <col min="60" max="60" width="14.7109375" customWidth="1"/>
    <col min="61" max="61" width="17.42578125" style="30" customWidth="1"/>
    <col min="62" max="62" width="4.140625" customWidth="1"/>
    <col min="63" max="63" width="13.28515625" style="10" customWidth="1"/>
    <col min="64" max="64" width="14.28515625" style="10" bestFit="1" customWidth="1"/>
    <col min="65" max="66" width="13.28515625" style="38" customWidth="1"/>
    <col min="67" max="68" width="14.28515625" style="10" customWidth="1"/>
    <col min="69" max="70" width="14.28515625" style="38" customWidth="1"/>
    <col min="71" max="72" width="14.28515625" style="10" customWidth="1"/>
    <col min="73" max="74" width="14.28515625" style="38" customWidth="1"/>
    <col min="75" max="75" width="16.42578125" style="10" bestFit="1" customWidth="1"/>
    <col min="76" max="76" width="16.85546875" style="10" bestFit="1" customWidth="1"/>
    <col min="77" max="77" width="20.140625" style="38" customWidth="1"/>
    <col min="78" max="78" width="16.42578125" style="36" customWidth="1"/>
    <col min="79" max="79" width="12.5703125" style="39" customWidth="1"/>
    <col min="80" max="80" width="9.5703125" style="34" bestFit="1" customWidth="1"/>
    <col min="81" max="81" width="12.5703125" style="38" customWidth="1"/>
    <col min="82" max="82" width="11.7109375" style="36" customWidth="1"/>
    <col min="83" max="83" width="12.28515625" style="39" bestFit="1" customWidth="1"/>
    <col min="84" max="84" width="10.5703125" style="39" bestFit="1" customWidth="1"/>
    <col min="85" max="85" width="13.42578125" style="39" customWidth="1"/>
    <col min="86" max="86" width="13.85546875" style="33" customWidth="1"/>
    <col min="87" max="87" width="12.28515625" style="38" bestFit="1" customWidth="1"/>
    <col min="88" max="88" width="10.5703125" style="38" bestFit="1" customWidth="1"/>
    <col min="89" max="89" width="12.85546875" style="38" customWidth="1"/>
    <col min="90" max="90" width="12" style="35" customWidth="1"/>
    <col min="91" max="91" width="12.28515625" style="39" bestFit="1" customWidth="1"/>
    <col min="92" max="92" width="10.5703125" style="39" bestFit="1" customWidth="1"/>
    <col min="93" max="93" width="13.42578125" style="39" customWidth="1"/>
    <col min="94" max="94" width="11.42578125" style="33" bestFit="1" customWidth="1"/>
    <col min="95" max="95" width="12.28515625" style="38" bestFit="1" customWidth="1"/>
    <col min="96" max="96" width="9.140625" style="38"/>
    <col min="97" max="97" width="13.140625" style="38" customWidth="1"/>
    <col min="98" max="98" width="11.85546875" style="35" bestFit="1" customWidth="1"/>
    <col min="99" max="99" width="12.28515625" style="39" bestFit="1" customWidth="1"/>
    <col min="100" max="100" width="11.5703125" style="39" bestFit="1" customWidth="1"/>
    <col min="101" max="101" width="13.5703125" style="39" customWidth="1"/>
    <col min="102" max="102" width="12.5703125" style="33" customWidth="1"/>
    <col min="103" max="103" width="12.28515625" style="35" bestFit="1" customWidth="1"/>
    <col min="104" max="104" width="13" style="35" customWidth="1"/>
    <col min="105" max="105" width="15.7109375" style="35" customWidth="1"/>
    <col min="106" max="106" width="14.140625" style="33" customWidth="1"/>
    <col min="107" max="107" width="9.140625" style="34"/>
    <col min="108" max="108" width="12.28515625" style="35" bestFit="1" customWidth="1"/>
    <col min="109" max="109" width="13.140625" style="35" customWidth="1"/>
    <col min="110" max="110" width="9.5703125" style="36" bestFit="1" customWidth="1"/>
    <col min="111" max="111" width="12.28515625" style="33" bestFit="1" customWidth="1"/>
    <col min="112" max="113" width="13" style="33" customWidth="1"/>
    <col min="114" max="115" width="9.140625" style="35"/>
    <col min="116" max="116" width="13.140625" style="35" customWidth="1"/>
    <col min="117" max="117" width="13.140625" style="36" customWidth="1"/>
    <col min="118" max="118" width="9.140625" style="33"/>
    <col min="119" max="119" width="13.140625" style="33" customWidth="1"/>
    <col min="120" max="120" width="11.5703125" style="34" bestFit="1" customWidth="1"/>
    <col min="121" max="121" width="9.140625" style="35"/>
    <col min="122" max="122" width="13.140625" style="35" customWidth="1"/>
    <col min="123" max="123" width="11.5703125" style="36" bestFit="1" customWidth="1"/>
    <col min="124" max="124" width="13.5703125" style="33" customWidth="1"/>
    <col min="125" max="125" width="13.140625" style="34" bestFit="1" customWidth="1"/>
    <col min="126" max="126" width="13.5703125" style="148" customWidth="1"/>
    <col min="127" max="127" width="13.140625" style="149" bestFit="1" customWidth="1"/>
    <col min="128" max="128" width="11.140625" style="35" customWidth="1"/>
    <col min="129" max="129" width="13.7109375" style="35" customWidth="1"/>
    <col min="130" max="130" width="12.5703125" style="35" customWidth="1"/>
    <col min="131" max="131" width="11.85546875" style="35" customWidth="1"/>
    <col min="132" max="132" width="22" style="37" customWidth="1"/>
    <col min="133" max="136" width="16.42578125" customWidth="1"/>
  </cols>
  <sheetData>
    <row r="1" spans="1:230" s="9" customFormat="1" ht="13.5" thickBot="1">
      <c r="A1" s="224">
        <v>1</v>
      </c>
      <c r="B1" s="224">
        <v>2</v>
      </c>
      <c r="C1" s="224">
        <v>3</v>
      </c>
      <c r="D1" s="224">
        <v>4</v>
      </c>
      <c r="E1" s="224">
        <v>5</v>
      </c>
      <c r="F1" s="224">
        <v>6</v>
      </c>
      <c r="G1" s="224">
        <v>7</v>
      </c>
      <c r="H1" s="224">
        <v>8</v>
      </c>
      <c r="I1" s="224">
        <v>9</v>
      </c>
      <c r="J1" s="224">
        <v>10</v>
      </c>
      <c r="K1" s="224">
        <v>11</v>
      </c>
      <c r="L1" s="224">
        <v>12</v>
      </c>
      <c r="M1" s="224">
        <v>13</v>
      </c>
      <c r="N1" s="224">
        <v>14</v>
      </c>
      <c r="O1" s="224">
        <v>15</v>
      </c>
      <c r="P1" s="224">
        <v>16</v>
      </c>
      <c r="Q1" s="224">
        <v>17</v>
      </c>
      <c r="R1" s="224">
        <v>18</v>
      </c>
      <c r="S1" s="224">
        <v>19</v>
      </c>
      <c r="T1" s="224">
        <v>20</v>
      </c>
      <c r="U1" s="224">
        <v>21</v>
      </c>
      <c r="V1" s="224">
        <v>22</v>
      </c>
      <c r="W1" s="224">
        <v>23</v>
      </c>
      <c r="X1" s="224">
        <v>24</v>
      </c>
      <c r="Y1" s="224">
        <v>25</v>
      </c>
      <c r="Z1" s="224">
        <v>26</v>
      </c>
      <c r="AA1" s="224">
        <v>27</v>
      </c>
      <c r="AB1" s="224">
        <v>28</v>
      </c>
      <c r="AC1" s="224">
        <v>29</v>
      </c>
      <c r="AD1" s="224">
        <v>30</v>
      </c>
      <c r="AE1" s="224">
        <v>31</v>
      </c>
      <c r="AF1" s="224">
        <v>32</v>
      </c>
      <c r="AG1" s="224">
        <v>33</v>
      </c>
      <c r="AH1" s="224">
        <v>34</v>
      </c>
      <c r="AI1" s="224">
        <v>35</v>
      </c>
      <c r="AJ1" s="224">
        <v>36</v>
      </c>
      <c r="AK1" s="224">
        <v>37</v>
      </c>
      <c r="AL1" s="224">
        <v>38</v>
      </c>
      <c r="AM1" s="224">
        <v>39</v>
      </c>
      <c r="AN1" s="224">
        <v>40</v>
      </c>
      <c r="AO1" s="224">
        <v>41</v>
      </c>
      <c r="AP1" s="224">
        <v>42</v>
      </c>
      <c r="AQ1" s="224">
        <v>43</v>
      </c>
      <c r="AR1" s="224">
        <v>44</v>
      </c>
      <c r="AS1" s="224">
        <v>45</v>
      </c>
      <c r="AT1" s="224">
        <v>46</v>
      </c>
      <c r="AU1" s="224">
        <v>47</v>
      </c>
      <c r="AV1" s="224">
        <v>48</v>
      </c>
      <c r="AW1" s="224">
        <v>49</v>
      </c>
      <c r="AX1" s="224">
        <v>50</v>
      </c>
      <c r="AY1" s="224">
        <v>51</v>
      </c>
      <c r="AZ1" s="224">
        <v>52</v>
      </c>
      <c r="BA1" s="224">
        <v>53</v>
      </c>
      <c r="BB1" s="224">
        <v>54</v>
      </c>
      <c r="BC1" s="224">
        <v>55</v>
      </c>
      <c r="BD1" s="224">
        <v>56</v>
      </c>
      <c r="BE1" s="224">
        <v>57</v>
      </c>
      <c r="BF1" s="224">
        <v>58</v>
      </c>
      <c r="BG1" s="224">
        <v>59</v>
      </c>
      <c r="BH1" s="224">
        <v>60</v>
      </c>
      <c r="BI1" s="224">
        <v>61</v>
      </c>
      <c r="BJ1" s="224">
        <v>62</v>
      </c>
      <c r="BK1" s="224">
        <v>63</v>
      </c>
      <c r="BL1" s="224">
        <v>64</v>
      </c>
      <c r="BM1" s="224">
        <v>65</v>
      </c>
      <c r="BN1" s="224">
        <v>66</v>
      </c>
      <c r="BO1" s="224">
        <v>67</v>
      </c>
      <c r="BP1" s="224">
        <v>68</v>
      </c>
      <c r="BQ1" s="224">
        <v>69</v>
      </c>
      <c r="BR1" s="224">
        <v>70</v>
      </c>
      <c r="BS1" s="224">
        <v>71</v>
      </c>
      <c r="BT1" s="224">
        <v>72</v>
      </c>
      <c r="BU1" s="224">
        <v>73</v>
      </c>
      <c r="BV1" s="224">
        <v>74</v>
      </c>
      <c r="BW1" s="224">
        <v>75</v>
      </c>
      <c r="BX1" s="224">
        <v>76</v>
      </c>
      <c r="BY1" s="224">
        <v>77</v>
      </c>
      <c r="BZ1" s="224">
        <v>78</v>
      </c>
      <c r="CA1" s="224">
        <v>79</v>
      </c>
      <c r="CB1" s="224">
        <v>80</v>
      </c>
      <c r="CC1" s="224">
        <v>81</v>
      </c>
      <c r="CD1" s="224">
        <v>82</v>
      </c>
      <c r="CE1" s="224">
        <v>83</v>
      </c>
      <c r="CF1" s="224">
        <v>84</v>
      </c>
      <c r="CG1" s="224">
        <v>85</v>
      </c>
      <c r="CH1" s="224">
        <v>86</v>
      </c>
      <c r="CI1" s="224">
        <v>87</v>
      </c>
      <c r="CJ1" s="224">
        <v>88</v>
      </c>
      <c r="CK1" s="224">
        <v>89</v>
      </c>
      <c r="CL1" s="224">
        <v>90</v>
      </c>
      <c r="CM1" s="224">
        <v>91</v>
      </c>
      <c r="CN1" s="224">
        <v>92</v>
      </c>
      <c r="CO1" s="224">
        <v>93</v>
      </c>
      <c r="CP1" s="224">
        <v>94</v>
      </c>
      <c r="CQ1" s="224">
        <v>95</v>
      </c>
      <c r="CR1" s="224">
        <v>96</v>
      </c>
      <c r="CS1" s="224">
        <v>97</v>
      </c>
      <c r="CT1" s="224">
        <v>98</v>
      </c>
      <c r="CU1" s="224">
        <v>99</v>
      </c>
      <c r="CV1" s="224">
        <v>100</v>
      </c>
      <c r="CW1" s="224">
        <v>101</v>
      </c>
      <c r="CX1" s="224">
        <v>102</v>
      </c>
      <c r="CY1" s="224">
        <v>103</v>
      </c>
      <c r="CZ1" s="224">
        <v>104</v>
      </c>
      <c r="DA1" s="224">
        <v>105</v>
      </c>
      <c r="DB1" s="224">
        <v>106</v>
      </c>
      <c r="DC1" s="224">
        <v>107</v>
      </c>
      <c r="DD1" s="224">
        <v>108</v>
      </c>
      <c r="DE1" s="224">
        <v>109</v>
      </c>
      <c r="DF1" s="224">
        <v>110</v>
      </c>
      <c r="DG1" s="224">
        <v>111</v>
      </c>
      <c r="DH1" s="224">
        <v>112</v>
      </c>
      <c r="DI1" s="224">
        <v>113</v>
      </c>
      <c r="DJ1" s="224">
        <v>114</v>
      </c>
      <c r="DK1" s="224">
        <v>115</v>
      </c>
      <c r="DL1" s="224">
        <v>116</v>
      </c>
      <c r="DM1" s="224">
        <v>117</v>
      </c>
      <c r="DN1" s="224">
        <v>118</v>
      </c>
      <c r="DO1" s="224">
        <v>119</v>
      </c>
      <c r="DP1" s="224">
        <v>120</v>
      </c>
      <c r="DQ1" s="224">
        <v>121</v>
      </c>
      <c r="DR1" s="224">
        <v>122</v>
      </c>
      <c r="DS1" s="224">
        <v>123</v>
      </c>
      <c r="DT1" s="224">
        <v>124</v>
      </c>
      <c r="DU1" s="224">
        <v>125</v>
      </c>
      <c r="DV1" s="224">
        <v>126</v>
      </c>
      <c r="DW1" s="224">
        <v>127</v>
      </c>
      <c r="DX1" s="224">
        <v>128</v>
      </c>
      <c r="DY1" s="224">
        <v>129</v>
      </c>
      <c r="DZ1" s="224">
        <v>130</v>
      </c>
      <c r="EA1" s="224">
        <v>131</v>
      </c>
      <c r="EB1" s="224">
        <v>132</v>
      </c>
      <c r="EC1" s="224">
        <v>133</v>
      </c>
      <c r="ED1" s="224">
        <v>134</v>
      </c>
      <c r="EE1" s="224">
        <v>135</v>
      </c>
      <c r="EF1" s="224">
        <v>136</v>
      </c>
      <c r="EG1" s="224">
        <v>137</v>
      </c>
      <c r="EH1" s="9">
        <v>138</v>
      </c>
    </row>
    <row r="2" spans="1:230" ht="39" customHeight="1" thickBot="1">
      <c r="A2" s="225" t="s">
        <v>475</v>
      </c>
      <c r="B2" s="225"/>
      <c r="C2" s="226"/>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8" t="s">
        <v>243</v>
      </c>
      <c r="BD2" s="228" t="s">
        <v>244</v>
      </c>
      <c r="BE2" s="227"/>
      <c r="BF2" s="228" t="s">
        <v>358</v>
      </c>
      <c r="BG2" s="228" t="s">
        <v>358</v>
      </c>
      <c r="BH2" s="227"/>
      <c r="BI2" s="229"/>
      <c r="BJ2" s="153"/>
      <c r="BK2" s="443" t="s">
        <v>127</v>
      </c>
      <c r="BL2" s="444"/>
      <c r="BM2" s="440" t="s">
        <v>128</v>
      </c>
      <c r="BN2" s="442"/>
      <c r="BO2" s="443" t="s">
        <v>129</v>
      </c>
      <c r="BP2" s="444"/>
      <c r="BQ2" s="440" t="s">
        <v>130</v>
      </c>
      <c r="BR2" s="442"/>
      <c r="BS2" s="443" t="s">
        <v>320</v>
      </c>
      <c r="BT2" s="444"/>
      <c r="BU2" s="440" t="s">
        <v>247</v>
      </c>
      <c r="BV2" s="442"/>
      <c r="BW2" s="443" t="s">
        <v>132</v>
      </c>
      <c r="BX2" s="444"/>
      <c r="BY2" s="445" t="s">
        <v>371</v>
      </c>
      <c r="BZ2" s="446"/>
      <c r="CA2" s="450" t="s">
        <v>248</v>
      </c>
      <c r="CB2" s="451"/>
      <c r="CC2" s="445" t="s">
        <v>123</v>
      </c>
      <c r="CD2" s="446"/>
      <c r="CE2" s="447" t="s">
        <v>302</v>
      </c>
      <c r="CF2" s="448"/>
      <c r="CG2" s="448"/>
      <c r="CH2" s="449"/>
      <c r="CI2" s="440" t="s">
        <v>372</v>
      </c>
      <c r="CJ2" s="441"/>
      <c r="CK2" s="441"/>
      <c r="CL2" s="442"/>
      <c r="CM2" s="447" t="s">
        <v>373</v>
      </c>
      <c r="CN2" s="448"/>
      <c r="CO2" s="448"/>
      <c r="CP2" s="449"/>
      <c r="CQ2" s="440" t="s">
        <v>374</v>
      </c>
      <c r="CR2" s="441"/>
      <c r="CS2" s="441"/>
      <c r="CT2" s="442"/>
      <c r="CU2" s="447" t="s">
        <v>19</v>
      </c>
      <c r="CV2" s="448"/>
      <c r="CW2" s="448"/>
      <c r="CX2" s="449"/>
      <c r="CY2" s="445" t="s">
        <v>375</v>
      </c>
      <c r="CZ2" s="452"/>
      <c r="DA2" s="446"/>
      <c r="DB2" s="447" t="s">
        <v>376</v>
      </c>
      <c r="DC2" s="449"/>
      <c r="DD2" s="440" t="s">
        <v>377</v>
      </c>
      <c r="DE2" s="441"/>
      <c r="DF2" s="442"/>
      <c r="DG2" s="447" t="s">
        <v>378</v>
      </c>
      <c r="DH2" s="448"/>
      <c r="DI2" s="449"/>
      <c r="DJ2" s="440" t="s">
        <v>379</v>
      </c>
      <c r="DK2" s="441"/>
      <c r="DL2" s="441"/>
      <c r="DM2" s="442"/>
      <c r="DN2" s="447" t="s">
        <v>380</v>
      </c>
      <c r="DO2" s="448"/>
      <c r="DP2" s="449"/>
      <c r="DQ2" s="445" t="s">
        <v>381</v>
      </c>
      <c r="DR2" s="452"/>
      <c r="DS2" s="446"/>
      <c r="DT2" s="447" t="s">
        <v>382</v>
      </c>
      <c r="DU2" s="449"/>
      <c r="DV2" s="440" t="s">
        <v>543</v>
      </c>
      <c r="DW2" s="442"/>
      <c r="DX2" s="440" t="s">
        <v>124</v>
      </c>
      <c r="DY2" s="441"/>
      <c r="DZ2" s="441"/>
      <c r="EA2" s="442"/>
      <c r="EB2" s="230"/>
      <c r="EC2" s="227"/>
      <c r="ED2" s="227"/>
      <c r="EE2" s="227"/>
      <c r="EF2" s="227"/>
      <c r="EG2" s="153"/>
    </row>
    <row r="3" spans="1:230" ht="57" thickBot="1">
      <c r="A3" s="231" t="s">
        <v>336</v>
      </c>
      <c r="B3" s="231" t="s">
        <v>125</v>
      </c>
      <c r="C3" s="231" t="s">
        <v>126</v>
      </c>
      <c r="D3" s="232" t="s">
        <v>127</v>
      </c>
      <c r="E3" s="231" t="s">
        <v>128</v>
      </c>
      <c r="F3" s="232" t="s">
        <v>129</v>
      </c>
      <c r="G3" s="232" t="s">
        <v>130</v>
      </c>
      <c r="H3" s="232" t="s">
        <v>320</v>
      </c>
      <c r="I3" s="232" t="s">
        <v>131</v>
      </c>
      <c r="J3" s="232" t="s">
        <v>132</v>
      </c>
      <c r="K3" s="232" t="s">
        <v>366</v>
      </c>
      <c r="L3" s="232" t="s">
        <v>365</v>
      </c>
      <c r="M3" s="232" t="s">
        <v>133</v>
      </c>
      <c r="N3" s="232" t="s">
        <v>134</v>
      </c>
      <c r="O3" s="232" t="s">
        <v>135</v>
      </c>
      <c r="P3" s="232" t="s">
        <v>136</v>
      </c>
      <c r="Q3" s="232" t="s">
        <v>137</v>
      </c>
      <c r="R3" s="232" t="s">
        <v>138</v>
      </c>
      <c r="S3" s="232" t="s">
        <v>139</v>
      </c>
      <c r="T3" s="232" t="s">
        <v>140</v>
      </c>
      <c r="U3" s="232" t="s">
        <v>390</v>
      </c>
      <c r="V3" s="232" t="s">
        <v>141</v>
      </c>
      <c r="W3" s="232" t="s">
        <v>142</v>
      </c>
      <c r="X3" s="232" t="s">
        <v>143</v>
      </c>
      <c r="Y3" s="232" t="s">
        <v>144</v>
      </c>
      <c r="Z3" s="232" t="s">
        <v>145</v>
      </c>
      <c r="AA3" s="231" t="s">
        <v>146</v>
      </c>
      <c r="AB3" s="231" t="s">
        <v>147</v>
      </c>
      <c r="AC3" s="232" t="s">
        <v>148</v>
      </c>
      <c r="AD3" s="232" t="s">
        <v>149</v>
      </c>
      <c r="AE3" s="232" t="s">
        <v>150</v>
      </c>
      <c r="AF3" s="232" t="s">
        <v>151</v>
      </c>
      <c r="AG3" s="232" t="s">
        <v>152</v>
      </c>
      <c r="AH3" s="232" t="s">
        <v>153</v>
      </c>
      <c r="AI3" s="232" t="s">
        <v>154</v>
      </c>
      <c r="AJ3" s="232" t="s">
        <v>21</v>
      </c>
      <c r="AK3" s="232" t="s">
        <v>155</v>
      </c>
      <c r="AL3" s="232" t="s">
        <v>156</v>
      </c>
      <c r="AM3" s="232" t="s">
        <v>157</v>
      </c>
      <c r="AN3" s="232" t="s">
        <v>158</v>
      </c>
      <c r="AO3" s="232" t="s">
        <v>159</v>
      </c>
      <c r="AP3" s="232" t="s">
        <v>160</v>
      </c>
      <c r="AQ3" s="231" t="s">
        <v>161</v>
      </c>
      <c r="AR3" s="232" t="s">
        <v>162</v>
      </c>
      <c r="AS3" s="232" t="s">
        <v>163</v>
      </c>
      <c r="AT3" s="232" t="s">
        <v>164</v>
      </c>
      <c r="AU3" s="232" t="s">
        <v>165</v>
      </c>
      <c r="AV3" s="232" t="s">
        <v>166</v>
      </c>
      <c r="AW3" s="232" t="s">
        <v>362</v>
      </c>
      <c r="AX3" s="232" t="s">
        <v>363</v>
      </c>
      <c r="AY3" s="232" t="s">
        <v>167</v>
      </c>
      <c r="AZ3" s="232" t="s">
        <v>168</v>
      </c>
      <c r="BA3" s="232" t="s">
        <v>169</v>
      </c>
      <c r="BB3" s="232" t="s">
        <v>170</v>
      </c>
      <c r="BC3" s="233" t="s">
        <v>171</v>
      </c>
      <c r="BD3" s="233" t="s">
        <v>172</v>
      </c>
      <c r="BE3" s="233" t="s">
        <v>173</v>
      </c>
      <c r="BF3" s="233" t="s">
        <v>476</v>
      </c>
      <c r="BG3" s="233" t="s">
        <v>477</v>
      </c>
      <c r="BH3" s="234" t="s">
        <v>486</v>
      </c>
      <c r="BI3" s="235" t="s">
        <v>485</v>
      </c>
      <c r="BJ3" s="153"/>
      <c r="BK3" s="236" t="s">
        <v>9</v>
      </c>
      <c r="BL3" s="237" t="s">
        <v>174</v>
      </c>
      <c r="BM3" s="238" t="s">
        <v>9</v>
      </c>
      <c r="BN3" s="239" t="s">
        <v>174</v>
      </c>
      <c r="BO3" s="236" t="s">
        <v>9</v>
      </c>
      <c r="BP3" s="237" t="s">
        <v>174</v>
      </c>
      <c r="BQ3" s="238" t="s">
        <v>9</v>
      </c>
      <c r="BR3" s="239" t="s">
        <v>174</v>
      </c>
      <c r="BS3" s="236" t="s">
        <v>9</v>
      </c>
      <c r="BT3" s="237" t="s">
        <v>174</v>
      </c>
      <c r="BU3" s="238" t="s">
        <v>9</v>
      </c>
      <c r="BV3" s="239" t="s">
        <v>174</v>
      </c>
      <c r="BW3" s="236" t="s">
        <v>9</v>
      </c>
      <c r="BX3" s="237" t="s">
        <v>174</v>
      </c>
      <c r="BY3" s="238" t="s">
        <v>9</v>
      </c>
      <c r="BZ3" s="240" t="s">
        <v>174</v>
      </c>
      <c r="CA3" s="241" t="s">
        <v>9</v>
      </c>
      <c r="CB3" s="242" t="s">
        <v>174</v>
      </c>
      <c r="CC3" s="238" t="s">
        <v>9</v>
      </c>
      <c r="CD3" s="239" t="s">
        <v>174</v>
      </c>
      <c r="CE3" s="243" t="s">
        <v>13</v>
      </c>
      <c r="CF3" s="244" t="s">
        <v>9</v>
      </c>
      <c r="CG3" s="244" t="s">
        <v>175</v>
      </c>
      <c r="CH3" s="245" t="s">
        <v>176</v>
      </c>
      <c r="CI3" s="238" t="s">
        <v>13</v>
      </c>
      <c r="CJ3" s="246" t="s">
        <v>9</v>
      </c>
      <c r="CK3" s="246" t="s">
        <v>175</v>
      </c>
      <c r="CL3" s="247" t="s">
        <v>176</v>
      </c>
      <c r="CM3" s="241" t="s">
        <v>13</v>
      </c>
      <c r="CN3" s="244" t="s">
        <v>9</v>
      </c>
      <c r="CO3" s="244" t="s">
        <v>175</v>
      </c>
      <c r="CP3" s="245" t="s">
        <v>176</v>
      </c>
      <c r="CQ3" s="238" t="s">
        <v>13</v>
      </c>
      <c r="CR3" s="246" t="s">
        <v>9</v>
      </c>
      <c r="CS3" s="246" t="s">
        <v>175</v>
      </c>
      <c r="CT3" s="247" t="s">
        <v>176</v>
      </c>
      <c r="CU3" s="241" t="s">
        <v>13</v>
      </c>
      <c r="CV3" s="244" t="s">
        <v>177</v>
      </c>
      <c r="CW3" s="244" t="s">
        <v>175</v>
      </c>
      <c r="CX3" s="245" t="s">
        <v>178</v>
      </c>
      <c r="CY3" s="248" t="s">
        <v>13</v>
      </c>
      <c r="CZ3" s="249" t="s">
        <v>175</v>
      </c>
      <c r="DA3" s="247" t="s">
        <v>15</v>
      </c>
      <c r="DB3" s="250" t="s">
        <v>175</v>
      </c>
      <c r="DC3" s="242" t="s">
        <v>176</v>
      </c>
      <c r="DD3" s="248" t="s">
        <v>13</v>
      </c>
      <c r="DE3" s="249" t="s">
        <v>175</v>
      </c>
      <c r="DF3" s="239" t="s">
        <v>179</v>
      </c>
      <c r="DG3" s="250" t="s">
        <v>13</v>
      </c>
      <c r="DH3" s="251" t="s">
        <v>175</v>
      </c>
      <c r="DI3" s="245" t="s">
        <v>179</v>
      </c>
      <c r="DJ3" s="252" t="s">
        <v>13</v>
      </c>
      <c r="DK3" s="249" t="s">
        <v>9</v>
      </c>
      <c r="DL3" s="249" t="s">
        <v>175</v>
      </c>
      <c r="DM3" s="239" t="s">
        <v>180</v>
      </c>
      <c r="DN3" s="250" t="s">
        <v>13</v>
      </c>
      <c r="DO3" s="251" t="s">
        <v>175</v>
      </c>
      <c r="DP3" s="242" t="s">
        <v>179</v>
      </c>
      <c r="DQ3" s="248" t="s">
        <v>13</v>
      </c>
      <c r="DR3" s="249" t="s">
        <v>175</v>
      </c>
      <c r="DS3" s="239" t="s">
        <v>179</v>
      </c>
      <c r="DT3" s="250" t="s">
        <v>175</v>
      </c>
      <c r="DU3" s="242" t="s">
        <v>15</v>
      </c>
      <c r="DV3" s="248" t="s">
        <v>175</v>
      </c>
      <c r="DW3" s="239" t="s">
        <v>15</v>
      </c>
      <c r="DX3" s="248" t="s">
        <v>13</v>
      </c>
      <c r="DY3" s="249" t="s">
        <v>177</v>
      </c>
      <c r="DZ3" s="249" t="s">
        <v>175</v>
      </c>
      <c r="EA3" s="253" t="s">
        <v>245</v>
      </c>
      <c r="EB3" s="254" t="s">
        <v>541</v>
      </c>
      <c r="EC3" s="232" t="s">
        <v>394</v>
      </c>
      <c r="ED3" s="232" t="s">
        <v>393</v>
      </c>
      <c r="EE3" s="232" t="s">
        <v>392</v>
      </c>
      <c r="EF3" s="232" t="s">
        <v>391</v>
      </c>
      <c r="EG3" s="153"/>
    </row>
    <row r="4" spans="1:230" s="5" customFormat="1">
      <c r="A4" s="255">
        <v>1001</v>
      </c>
      <c r="B4" s="256">
        <v>10131</v>
      </c>
      <c r="C4" s="257" t="s">
        <v>28</v>
      </c>
      <c r="D4" s="258">
        <f>IFERROR(VLOOKUP(A4,CFR20212022_BenchMarkDataReport!$B$4:$CL$90,19,0),0)</f>
        <v>0</v>
      </c>
      <c r="E4" s="258">
        <f>IFERROR(VLOOKUP(A4,CFR20212022_BenchMarkDataReport!$B$4:$CL$90,20,0),0)</f>
        <v>0</v>
      </c>
      <c r="F4" s="258">
        <f>IFERROR(VLOOKUP(A4,CFR20212022_BenchMarkDataReport!$B$4:$CL$90,21,0),0)</f>
        <v>0</v>
      </c>
      <c r="G4" s="258">
        <f>IFERROR(VLOOKUP(A4,CFR20212022_BenchMarkDataReport!$B$4:$CL$90,22,0),0)</f>
        <v>0</v>
      </c>
      <c r="H4" s="258">
        <f>IFERROR(VLOOKUP(A4,CFR20212022_BenchMarkDataReport!$B$4:$CL$90,23,0),0)</f>
        <v>0</v>
      </c>
      <c r="I4" s="258">
        <f>IFERROR(VLOOKUP(A4,CFR20212022_BenchMarkDataReport!$B$4:$CL$90,24,0),0)</f>
        <v>0</v>
      </c>
      <c r="J4" s="258">
        <f>IFERROR(VLOOKUP(A4,CFR20212022_BenchMarkDataReport!$B$4:$CL$90,25,0),0)</f>
        <v>0</v>
      </c>
      <c r="K4" s="258">
        <f>IFERROR(VLOOKUP(A4,CFR20212022_BenchMarkDataReport!$B$4:$CL$90,26,0),0)</f>
        <v>0</v>
      </c>
      <c r="L4" s="258">
        <f>IFERROR(VLOOKUP(A4,CFR20212022_BenchMarkDataReport!$B$4:$CL$90,27,0),0)</f>
        <v>0</v>
      </c>
      <c r="M4" s="258">
        <f>IFERROR(VLOOKUP(A4,CFR20212022_BenchMarkDataReport!$B$4:$CL$90,28,0),0)</f>
        <v>0</v>
      </c>
      <c r="N4" s="258">
        <f>IFERROR(VLOOKUP(A4,CFR20212022_BenchMarkDataReport!$B$4:$CL$90,29,0),0)</f>
        <v>0</v>
      </c>
      <c r="O4" s="258">
        <f>IFERROR(VLOOKUP(A4,CFR20212022_BenchMarkDataReport!$B$4:$CL$90,30,0),0)</f>
        <v>0</v>
      </c>
      <c r="P4" s="258">
        <f>IFERROR(VLOOKUP(A4,CFR20212022_BenchMarkDataReport!$B$4:$CL$90,31,0),0)</f>
        <v>0</v>
      </c>
      <c r="Q4" s="258">
        <f>IFERROR(VLOOKUP(A4,CFR20212022_BenchMarkDataReport!$B$4:$CL$90,32,0),0)</f>
        <v>0</v>
      </c>
      <c r="R4" s="258">
        <f>IFERROR(VLOOKUP(A4,CFR20212022_BenchMarkDataReport!$B$4:$CL$90,33,0),0)</f>
        <v>0</v>
      </c>
      <c r="S4" s="258">
        <f>IFERROR(VLOOKUP(A4,CFR20212022_BenchMarkDataReport!$B$4:$CL$90,34,0),0)</f>
        <v>0</v>
      </c>
      <c r="T4" s="258">
        <f>IFERROR(VLOOKUP(A4,CFR20212022_BenchMarkDataReport!$B$4:$CL$90,35,0),0)</f>
        <v>0</v>
      </c>
      <c r="U4" s="258">
        <f t="shared" ref="U4:U67" si="0">SUM(EC4:EF4)</f>
        <v>0</v>
      </c>
      <c r="V4" s="258">
        <f>IFERROR(VLOOKUP(A4,CFR20212022_BenchMarkDataReport!$B$4:$CL$90,40,0),0)</f>
        <v>0</v>
      </c>
      <c r="W4" s="258">
        <f>IFERROR(VLOOKUP(A4,CFR20212022_BenchMarkDataReport!$B$4:$CL$90,41,0),0)</f>
        <v>0</v>
      </c>
      <c r="X4" s="258">
        <f>IFERROR(VLOOKUP(A4,CFR20212022_BenchMarkDataReport!$B$4:$CL$90,42,0),0)</f>
        <v>0</v>
      </c>
      <c r="Y4" s="258">
        <f>IFERROR(VLOOKUP(A4,CFR20212022_BenchMarkDataReport!$B$4:$CL$90,43,0),0)</f>
        <v>0</v>
      </c>
      <c r="Z4" s="258">
        <f>IFERROR(VLOOKUP(A4,CFR20212022_BenchMarkDataReport!$B$4:$CL$90,44,0),0)</f>
        <v>0</v>
      </c>
      <c r="AA4" s="258">
        <f>IFERROR(VLOOKUP(A4,CFR20212022_BenchMarkDataReport!$B$4:$CL$90,45,0),0)</f>
        <v>0</v>
      </c>
      <c r="AB4" s="258">
        <f>IFERROR(VLOOKUP(A4,CFR20212022_BenchMarkDataReport!$B$4:$CL$90,46,0),0)</f>
        <v>0</v>
      </c>
      <c r="AC4" s="258">
        <f>IFERROR(VLOOKUP(A4,CFR20212022_BenchMarkDataReport!$B$4:$CL$90,47,0),0)</f>
        <v>0</v>
      </c>
      <c r="AD4" s="258">
        <f>IFERROR(VLOOKUP(A4,CFR20212022_BenchMarkDataReport!$B$4:$CL$90,48,0),0)</f>
        <v>0</v>
      </c>
      <c r="AE4" s="258">
        <f>IFERROR(VLOOKUP(A4,CFR20212022_BenchMarkDataReport!$B$4:$CL$90,49,0),0)</f>
        <v>0</v>
      </c>
      <c r="AF4" s="258">
        <f>IFERROR(VLOOKUP(A4,CFR20212022_BenchMarkDataReport!$B$4:$CL$90,50,0),0)</f>
        <v>0</v>
      </c>
      <c r="AG4" s="258">
        <f>IFERROR(VLOOKUP(A4,CFR20212022_BenchMarkDataReport!$B$4:$CL$90,51,0),0)</f>
        <v>0</v>
      </c>
      <c r="AH4" s="258">
        <f>IFERROR(VLOOKUP(A4,CFR20212022_BenchMarkDataReport!$B$4:$CL$90,52,0),0)</f>
        <v>0</v>
      </c>
      <c r="AI4" s="258">
        <f>IFERROR(VLOOKUP(A4,CFR20212022_BenchMarkDataReport!$B$4:$CL$90,53,0),0)</f>
        <v>0</v>
      </c>
      <c r="AJ4" s="258">
        <f>IFERROR(VLOOKUP(A4,CFR20212022_BenchMarkDataReport!$B$4:$CL$90,54,0),0)</f>
        <v>0</v>
      </c>
      <c r="AK4" s="258">
        <f>IFERROR(VLOOKUP(A4,CFR20212022_BenchMarkDataReport!$B$4:$CL$90,55,0),0)</f>
        <v>0</v>
      </c>
      <c r="AL4" s="258">
        <f>IFERROR(VLOOKUP(A4,CFR20212022_BenchMarkDataReport!$B$4:$CL$90,56,0),0)</f>
        <v>0</v>
      </c>
      <c r="AM4" s="258">
        <f>IFERROR(VLOOKUP(A4,CFR20212022_BenchMarkDataReport!$B$4:$CL$90,57,0),0)</f>
        <v>0</v>
      </c>
      <c r="AN4" s="258">
        <f>IFERROR(VLOOKUP(A4,CFR20212022_BenchMarkDataReport!$B$4:$CL$90,58,0),0)</f>
        <v>0</v>
      </c>
      <c r="AO4" s="258">
        <f>IFERROR(VLOOKUP(A4,CFR20212022_BenchMarkDataReport!$B$4:$CL$90,59,0),0)</f>
        <v>0</v>
      </c>
      <c r="AP4" s="258">
        <f>IFERROR(VLOOKUP(A4,CFR20212022_BenchMarkDataReport!$B$4:$CL$90,60,0),0)</f>
        <v>0</v>
      </c>
      <c r="AQ4" s="258">
        <f>IFERROR(VLOOKUP(A4,CFR20212022_BenchMarkDataReport!$B$4:$CL$90,61,0),0)</f>
        <v>0</v>
      </c>
      <c r="AR4" s="258">
        <f>IFERROR(VLOOKUP(A4,CFR20212022_BenchMarkDataReport!$B$4:$CL$90,62,0),0)</f>
        <v>0</v>
      </c>
      <c r="AS4" s="258">
        <f>IFERROR(VLOOKUP(A4,CFR20212022_BenchMarkDataReport!$B$4:$CL$90,63,0),0)</f>
        <v>0</v>
      </c>
      <c r="AT4" s="258">
        <f>IFERROR(VLOOKUP(A4,CFR20212022_BenchMarkDataReport!$B$4:$CL$90,64,0),0)</f>
        <v>0</v>
      </c>
      <c r="AU4" s="258">
        <f>IFERROR(VLOOKUP(A4,CFR20212022_BenchMarkDataReport!$B$4:$CL$90,65,0),0)</f>
        <v>0</v>
      </c>
      <c r="AV4" s="258">
        <f>IFERROR(VLOOKUP(A4,CFR20212022_BenchMarkDataReport!$B$4:$CL$90,66,0),0)</f>
        <v>0</v>
      </c>
      <c r="AW4" s="258">
        <f>IFERROR(VLOOKUP(A4,CFR20212022_BenchMarkDataReport!$B$4:$CL$90,67,0),0)</f>
        <v>0</v>
      </c>
      <c r="AX4" s="258">
        <f>IFERROR(VLOOKUP(A4,CFR20212022_BenchMarkDataReport!$B$4:$CL$90,68,0),0)</f>
        <v>0</v>
      </c>
      <c r="AY4" s="258">
        <f>IFERROR(VLOOKUP(A4,CFR20212022_BenchMarkDataReport!$B$4:$CL$90,69,0),0)</f>
        <v>0</v>
      </c>
      <c r="AZ4" s="258">
        <f>IFERROR(VLOOKUP(A4,CFR20212022_BenchMarkDataReport!$B$4:$CL$90,70,0),0)</f>
        <v>0</v>
      </c>
      <c r="BA4" s="258">
        <f>IFERROR(VLOOKUP(A4,CFR20212022_BenchMarkDataReport!$B$4:$CL$90,71,0),0)</f>
        <v>0</v>
      </c>
      <c r="BB4" s="258">
        <f>IFERROR(VLOOKUP(A4,CFR20212022_BenchMarkDataReport!$B$4:$CL$90,72,0),0)</f>
        <v>0</v>
      </c>
      <c r="BC4" s="259">
        <f>SUM(D4:R4)+U4</f>
        <v>0</v>
      </c>
      <c r="BD4" s="260">
        <f>SUM(V4:AZ4)</f>
        <v>0</v>
      </c>
      <c r="BE4" s="259">
        <f>BC4-BD4</f>
        <v>0</v>
      </c>
      <c r="BF4" s="258">
        <f>IFERROR(VLOOKUP(A4,CFR20212022_BenchMarkDataReport!$B$4:$CL$90,16,0),0)</f>
        <v>0</v>
      </c>
      <c r="BG4" s="259">
        <f>SUM(BE4:BF4)</f>
        <v>0</v>
      </c>
      <c r="BH4" s="261">
        <f>IFERROR(VLOOKUP(A4,'Pupil Nos BenchmarkData 21-22'!$A$6:$E$94,5,0),0)</f>
        <v>0</v>
      </c>
      <c r="BI4" s="260">
        <f>D4+E4+F4</f>
        <v>0</v>
      </c>
      <c r="BJ4" s="227" t="s">
        <v>181</v>
      </c>
      <c r="BK4" s="262">
        <f>IFERROR(D4/BC4,0)</f>
        <v>0</v>
      </c>
      <c r="BL4" s="263">
        <f>IFERROR(D4/BH4,0)</f>
        <v>0</v>
      </c>
      <c r="BM4" s="264">
        <f>IFERROR((E4/BC4),0)</f>
        <v>0</v>
      </c>
      <c r="BN4" s="265">
        <f>IFERROR(E4/BH4,0)</f>
        <v>0</v>
      </c>
      <c r="BO4" s="262">
        <f>IFERROR((F4/BC4),0)</f>
        <v>0</v>
      </c>
      <c r="BP4" s="263">
        <f>IFERROR(F4/BH4,0)</f>
        <v>0</v>
      </c>
      <c r="BQ4" s="264">
        <f>IFERROR((G4/BC4),0)</f>
        <v>0</v>
      </c>
      <c r="BR4" s="265">
        <f>IFERROR(G4/BH4,0)</f>
        <v>0</v>
      </c>
      <c r="BS4" s="262">
        <f>IFERROR((H4/BC4),0)</f>
        <v>0</v>
      </c>
      <c r="BT4" s="263">
        <f>IFERROR(H4/BH4,0)</f>
        <v>0</v>
      </c>
      <c r="BU4" s="264">
        <f>IFERROR(I4/BC4,0)</f>
        <v>0</v>
      </c>
      <c r="BV4" s="265">
        <f>IFERROR(I4/BH4,0)</f>
        <v>0</v>
      </c>
      <c r="BW4" s="262">
        <f>IFERROR(J4/BC4,0)</f>
        <v>0</v>
      </c>
      <c r="BX4" s="263">
        <f>IFERROR(J4/BH4,0)</f>
        <v>0</v>
      </c>
      <c r="BY4" s="264">
        <f>IFERROR((K4+L4)/BC4,0)</f>
        <v>0</v>
      </c>
      <c r="BZ4" s="266">
        <f>IFERROR((K4+L4)/BH4,0)</f>
        <v>0</v>
      </c>
      <c r="CA4" s="267">
        <f>IFERROR(P4/BC4,0)</f>
        <v>0</v>
      </c>
      <c r="CB4" s="268">
        <f>IFERROR(P4/BH4,0)</f>
        <v>0</v>
      </c>
      <c r="CC4" s="264">
        <f>IFERROR(Q4/BC4,0)</f>
        <v>0</v>
      </c>
      <c r="CD4" s="265">
        <f>IFERROR((Q4/BH4),0)</f>
        <v>0</v>
      </c>
      <c r="CE4" s="269">
        <f>IFERROR((V4+W4+AU4)/BI4,0)</f>
        <v>0</v>
      </c>
      <c r="CF4" s="267">
        <f>IFERROR((V4+W4+AU4)/BC4,0)</f>
        <v>0</v>
      </c>
      <c r="CG4" s="267">
        <f>IFERROR((V4+W4+AU4)/BD4,0)</f>
        <v>0</v>
      </c>
      <c r="CH4" s="268">
        <f>IFERROR(((V4+W4+AU4)/BH4),0)</f>
        <v>0</v>
      </c>
      <c r="CI4" s="264">
        <f>IFERROR(X4/BI4,0)</f>
        <v>0</v>
      </c>
      <c r="CJ4" s="270">
        <f>IFERROR(X4/BC4,0)</f>
        <v>0</v>
      </c>
      <c r="CK4" s="270">
        <f>IFERROR(X4/BD4,0)</f>
        <v>0</v>
      </c>
      <c r="CL4" s="271">
        <f>IFERROR((X4/BH4),0)</f>
        <v>0</v>
      </c>
      <c r="CM4" s="269">
        <f>IFERROR(Y4/BI4,0)</f>
        <v>0</v>
      </c>
      <c r="CN4" s="267">
        <f>IFERROR(Y4/BC4,0)</f>
        <v>0</v>
      </c>
      <c r="CO4" s="267">
        <f>IFERROR(Y4/BD4,0)</f>
        <v>0</v>
      </c>
      <c r="CP4" s="268">
        <f>IFERROR((Y4/BH4),0)</f>
        <v>0</v>
      </c>
      <c r="CQ4" s="264">
        <f>IFERROR(Z4/BI4,0)</f>
        <v>0</v>
      </c>
      <c r="CR4" s="270">
        <f>IFERROR(Z4/BC4,0)</f>
        <v>0</v>
      </c>
      <c r="CS4" s="270">
        <f>IFERROR(Z4/BD4,0)</f>
        <v>0</v>
      </c>
      <c r="CT4" s="265">
        <f>IFERROR(Z4/BH4,0)</f>
        <v>0</v>
      </c>
      <c r="CU4" s="269">
        <f>IFERROR((V4+W4+X4+Y4+Z4+AA4+AB4)/BI4,0)</f>
        <v>0</v>
      </c>
      <c r="CV4" s="267">
        <f>IFERROR((V4+W4+X4+Y4+Z4+AA4+AB4)/BC4,0)</f>
        <v>0</v>
      </c>
      <c r="CW4" s="267">
        <f>IFERROR((V4+W4+X4+Y4+Z4+AA4+AB4)/BD4,0)</f>
        <v>0</v>
      </c>
      <c r="CX4" s="268">
        <f>IFERROR(((V4+W4+X4+Y4+Z4+AA4+AB4)/BH4),0)</f>
        <v>0</v>
      </c>
      <c r="CY4" s="264">
        <f>IFERROR(AG4/BI4,0)</f>
        <v>0</v>
      </c>
      <c r="CZ4" s="270">
        <f>IFERROR(AG4/BD4,0)</f>
        <v>0</v>
      </c>
      <c r="DA4" s="265">
        <f>IFERROR((AG4/BH4),0)</f>
        <v>0</v>
      </c>
      <c r="DB4" s="269">
        <f>IFERROR(AJ4/BD4,0)</f>
        <v>0</v>
      </c>
      <c r="DC4" s="268">
        <f>IFERROR((AJ4/BH4),0)</f>
        <v>0</v>
      </c>
      <c r="DD4" s="264">
        <f>IFERROR(AK4/BI4,0)</f>
        <v>0</v>
      </c>
      <c r="DE4" s="270">
        <f>IFERROR(AK4/BD4,0)</f>
        <v>0</v>
      </c>
      <c r="DF4" s="265">
        <f>IFERROR((AK4/BH4),0)</f>
        <v>0</v>
      </c>
      <c r="DG4" s="269">
        <f>IFERROR(AM4/BI4,0)</f>
        <v>0</v>
      </c>
      <c r="DH4" s="267">
        <f>IFERROR(AM4/BD4,0)</f>
        <v>0</v>
      </c>
      <c r="DI4" s="272">
        <f>IFERROR((AM4/BH40),0)</f>
        <v>0</v>
      </c>
      <c r="DJ4" s="264">
        <f>IFERROR(AN4/BI4,0)</f>
        <v>0</v>
      </c>
      <c r="DK4" s="270">
        <f>IFERROR(AN4/BC4,0)</f>
        <v>0</v>
      </c>
      <c r="DL4" s="270">
        <f>IFERROR(AN4/BD4,0)</f>
        <v>0</v>
      </c>
      <c r="DM4" s="265">
        <f>IFERROR((AN4/BH4),0)</f>
        <v>0</v>
      </c>
      <c r="DN4" s="269">
        <f>IFERROR(AQ4/BI4,0)</f>
        <v>0</v>
      </c>
      <c r="DO4" s="267">
        <f>IFERROR(AQ4/BD4,0)</f>
        <v>0</v>
      </c>
      <c r="DP4" s="268">
        <f>IFERROR((AQ4/BH4),0)</f>
        <v>0</v>
      </c>
      <c r="DQ4" s="264">
        <f>IFERROR(AV4/BI4,0)</f>
        <v>0</v>
      </c>
      <c r="DR4" s="270">
        <f>IFERROR(AV4/BD4,0)</f>
        <v>0</v>
      </c>
      <c r="DS4" s="265">
        <f>IFERROR(AV4/BH4,0)</f>
        <v>0</v>
      </c>
      <c r="DT4" s="269">
        <f>IFERROR(AT4/BD4,0)</f>
        <v>0</v>
      </c>
      <c r="DU4" s="268">
        <f>IFERROR((AT4/BH4),0)</f>
        <v>0</v>
      </c>
      <c r="DV4" s="264">
        <f>IFERROR(AI4/BD4,0)</f>
        <v>0</v>
      </c>
      <c r="DW4" s="265">
        <f>IFERROR((AI4/BH4),0)</f>
        <v>0</v>
      </c>
      <c r="DX4" s="264">
        <f>IFERROR(EB4/BI4,0)</f>
        <v>0</v>
      </c>
      <c r="DY4" s="270">
        <f>IFERROR(EB4/BC4,0)</f>
        <v>0</v>
      </c>
      <c r="DZ4" s="270">
        <f>IFERROR(EB4/BD4,0)</f>
        <v>0</v>
      </c>
      <c r="EA4" s="265">
        <f>IFERROR((EB4/BH4),0)</f>
        <v>0</v>
      </c>
      <c r="EB4" s="273">
        <f>IFERROR(VLOOKUP(A4,'BARNET SCHS PUPIL PREMIUM Nos'!$E$31:$V$117,17,0),0)</f>
        <v>0</v>
      </c>
      <c r="EC4" s="258">
        <f>IFERROR(VLOOKUP(A4,CFR20212022_BenchMarkDataReport!$B$4:$CL$90,36,0),0)</f>
        <v>0</v>
      </c>
      <c r="ED4" s="258">
        <f>IFERROR(VLOOKUP(A4,CFR20212022_BenchMarkDataReport!$B$4:$CL$90,37,0),0)</f>
        <v>0</v>
      </c>
      <c r="EE4" s="258">
        <f>IFERROR(VLOOKUP(A4,CFR20212022_BenchMarkDataReport!$B$4:$CL$90,38,0),0)</f>
        <v>0</v>
      </c>
      <c r="EF4" s="258">
        <f>IFERROR(VLOOKUP(A4,CFR20212022_BenchMarkDataReport!$B$4:$CL$90,39,0),0)</f>
        <v>0</v>
      </c>
      <c r="EG4" s="227"/>
    </row>
    <row r="5" spans="1:230" s="5" customFormat="1">
      <c r="A5" s="255">
        <v>1003</v>
      </c>
      <c r="B5" s="256">
        <v>10133</v>
      </c>
      <c r="C5" s="257" t="s">
        <v>30</v>
      </c>
      <c r="D5" s="258">
        <f>IFERROR(VLOOKUP(A5,CFR20212022_BenchMarkDataReport!$B$4:$CL$90,19,0),0)</f>
        <v>0</v>
      </c>
      <c r="E5" s="258">
        <f>IFERROR(VLOOKUP(A5,CFR20212022_BenchMarkDataReport!$B$4:$CL$90,20,0),0)</f>
        <v>0</v>
      </c>
      <c r="F5" s="258">
        <f>IFERROR(VLOOKUP(A5,CFR20212022_BenchMarkDataReport!$B$4:$CL$90,21,0),0)</f>
        <v>0</v>
      </c>
      <c r="G5" s="258">
        <f>IFERROR(VLOOKUP(A5,CFR20212022_BenchMarkDataReport!$B$4:$CL$90,22,0),0)</f>
        <v>0</v>
      </c>
      <c r="H5" s="258">
        <f>IFERROR(VLOOKUP(A5,CFR20212022_BenchMarkDataReport!$B$4:$CL$90,23,0),0)</f>
        <v>0</v>
      </c>
      <c r="I5" s="258">
        <f>IFERROR(VLOOKUP(A5,CFR20212022_BenchMarkDataReport!$B$4:$CL$90,24,0),0)</f>
        <v>0</v>
      </c>
      <c r="J5" s="258">
        <f>IFERROR(VLOOKUP(A5,CFR20212022_BenchMarkDataReport!$B$4:$CL$90,25,0),0)</f>
        <v>0</v>
      </c>
      <c r="K5" s="258">
        <f>IFERROR(VLOOKUP(A5,CFR20212022_BenchMarkDataReport!$B$4:$CL$90,26,0),0)</f>
        <v>0</v>
      </c>
      <c r="L5" s="258">
        <f>IFERROR(VLOOKUP(A5,CFR20212022_BenchMarkDataReport!$B$4:$CL$90,27,0),0)</f>
        <v>0</v>
      </c>
      <c r="M5" s="258">
        <f>IFERROR(VLOOKUP(A5,CFR20212022_BenchMarkDataReport!$B$4:$CL$90,28,0),0)</f>
        <v>0</v>
      </c>
      <c r="N5" s="258">
        <f>IFERROR(VLOOKUP(A5,CFR20212022_BenchMarkDataReport!$B$4:$CL$90,29,0),0)</f>
        <v>0</v>
      </c>
      <c r="O5" s="258">
        <f>IFERROR(VLOOKUP(A5,CFR20212022_BenchMarkDataReport!$B$4:$CL$90,30,0),0)</f>
        <v>0</v>
      </c>
      <c r="P5" s="258">
        <f>IFERROR(VLOOKUP(A5,CFR20212022_BenchMarkDataReport!$B$4:$CL$90,31,0),0)</f>
        <v>0</v>
      </c>
      <c r="Q5" s="258">
        <f>IFERROR(VLOOKUP(A5,CFR20212022_BenchMarkDataReport!$B$4:$CL$90,32,0),0)</f>
        <v>0</v>
      </c>
      <c r="R5" s="258">
        <f>IFERROR(VLOOKUP(A5,CFR20212022_BenchMarkDataReport!$B$4:$CL$90,33,0),0)</f>
        <v>0</v>
      </c>
      <c r="S5" s="258">
        <f>IFERROR(VLOOKUP(A5,CFR20212022_BenchMarkDataReport!$B$4:$CL$90,34,0),0)</f>
        <v>0</v>
      </c>
      <c r="T5" s="258">
        <f>IFERROR(VLOOKUP(A5,CFR20212022_BenchMarkDataReport!$B$4:$CL$90,35,0),0)</f>
        <v>0</v>
      </c>
      <c r="U5" s="258">
        <f t="shared" si="0"/>
        <v>0</v>
      </c>
      <c r="V5" s="258">
        <f>IFERROR(VLOOKUP(A5,CFR20212022_BenchMarkDataReport!$B$4:$CL$90,40,0),0)</f>
        <v>0</v>
      </c>
      <c r="W5" s="258">
        <f>IFERROR(VLOOKUP(A5,CFR20212022_BenchMarkDataReport!$B$4:$CL$90,41,0),0)</f>
        <v>0</v>
      </c>
      <c r="X5" s="258">
        <f>IFERROR(VLOOKUP(A5,CFR20212022_BenchMarkDataReport!$B$4:$CL$90,42,0),0)</f>
        <v>0</v>
      </c>
      <c r="Y5" s="258">
        <f>IFERROR(VLOOKUP(A5,CFR20212022_BenchMarkDataReport!$B$4:$CL$90,43,0),0)</f>
        <v>0</v>
      </c>
      <c r="Z5" s="258">
        <f>IFERROR(VLOOKUP(A5,CFR20212022_BenchMarkDataReport!$B$4:$CL$90,44,0),0)</f>
        <v>0</v>
      </c>
      <c r="AA5" s="258">
        <f>IFERROR(VLOOKUP(A5,CFR20212022_BenchMarkDataReport!$B$4:$CL$90,45,0),0)</f>
        <v>0</v>
      </c>
      <c r="AB5" s="258">
        <f>IFERROR(VLOOKUP(A5,CFR20212022_BenchMarkDataReport!$B$4:$CL$90,46,0),0)</f>
        <v>0</v>
      </c>
      <c r="AC5" s="258">
        <f>IFERROR(VLOOKUP(A5,CFR20212022_BenchMarkDataReport!$B$4:$CL$90,47,0),0)</f>
        <v>0</v>
      </c>
      <c r="AD5" s="258">
        <f>IFERROR(VLOOKUP(A5,CFR20212022_BenchMarkDataReport!$B$4:$CL$90,48,0),0)</f>
        <v>0</v>
      </c>
      <c r="AE5" s="258">
        <f>IFERROR(VLOOKUP(A5,CFR20212022_BenchMarkDataReport!$B$4:$CL$90,49,0),0)</f>
        <v>0</v>
      </c>
      <c r="AF5" s="258">
        <f>IFERROR(VLOOKUP(A5,CFR20212022_BenchMarkDataReport!$B$4:$CL$90,50,0),0)</f>
        <v>0</v>
      </c>
      <c r="AG5" s="258">
        <f>IFERROR(VLOOKUP(A5,CFR20212022_BenchMarkDataReport!$B$4:$CL$90,51,0),0)</f>
        <v>0</v>
      </c>
      <c r="AH5" s="258">
        <f>IFERROR(VLOOKUP(A5,CFR20212022_BenchMarkDataReport!$B$4:$CL$90,52,0),0)</f>
        <v>0</v>
      </c>
      <c r="AI5" s="258">
        <f>IFERROR(VLOOKUP(A5,CFR20212022_BenchMarkDataReport!$B$4:$CL$90,53,0),0)</f>
        <v>0</v>
      </c>
      <c r="AJ5" s="258">
        <f>IFERROR(VLOOKUP(A5,CFR20212022_BenchMarkDataReport!$B$4:$CL$90,54,0),0)</f>
        <v>0</v>
      </c>
      <c r="AK5" s="258">
        <f>IFERROR(VLOOKUP(A5,CFR20212022_BenchMarkDataReport!$B$4:$CL$90,55,0),0)</f>
        <v>0</v>
      </c>
      <c r="AL5" s="258">
        <f>IFERROR(VLOOKUP(A5,CFR20212022_BenchMarkDataReport!$B$4:$CL$90,56,0),0)</f>
        <v>0</v>
      </c>
      <c r="AM5" s="258">
        <f>IFERROR(VLOOKUP(A5,CFR20212022_BenchMarkDataReport!$B$4:$CL$90,57,0),0)</f>
        <v>0</v>
      </c>
      <c r="AN5" s="258">
        <f>IFERROR(VLOOKUP(A5,CFR20212022_BenchMarkDataReport!$B$4:$CL$90,58,0),0)</f>
        <v>0</v>
      </c>
      <c r="AO5" s="258">
        <f>IFERROR(VLOOKUP(A5,CFR20212022_BenchMarkDataReport!$B$4:$CL$90,59,0),0)</f>
        <v>0</v>
      </c>
      <c r="AP5" s="258">
        <f>IFERROR(VLOOKUP(A5,CFR20212022_BenchMarkDataReport!$B$4:$CL$90,60,0),0)</f>
        <v>0</v>
      </c>
      <c r="AQ5" s="258">
        <f>IFERROR(VLOOKUP(A5,CFR20212022_BenchMarkDataReport!$B$4:$CL$90,61,0),0)</f>
        <v>0</v>
      </c>
      <c r="AR5" s="258">
        <f>IFERROR(VLOOKUP(A5,CFR20212022_BenchMarkDataReport!$B$4:$CL$90,62,0),0)</f>
        <v>0</v>
      </c>
      <c r="AS5" s="258">
        <f>IFERROR(VLOOKUP(A5,CFR20212022_BenchMarkDataReport!$B$4:$CL$90,63,0),0)</f>
        <v>0</v>
      </c>
      <c r="AT5" s="258">
        <f>IFERROR(VLOOKUP(A5,CFR20212022_BenchMarkDataReport!$B$4:$CL$90,64,0),0)</f>
        <v>0</v>
      </c>
      <c r="AU5" s="258">
        <f>IFERROR(VLOOKUP(A5,CFR20212022_BenchMarkDataReport!$B$4:$CL$90,65,0),0)</f>
        <v>0</v>
      </c>
      <c r="AV5" s="258">
        <f>IFERROR(VLOOKUP(A5,CFR20212022_BenchMarkDataReport!$B$4:$CL$90,66,0),0)</f>
        <v>0</v>
      </c>
      <c r="AW5" s="258">
        <f>IFERROR(VLOOKUP(A5,CFR20212022_BenchMarkDataReport!$B$4:$CL$90,67,0),0)</f>
        <v>0</v>
      </c>
      <c r="AX5" s="258">
        <f>IFERROR(VLOOKUP(A5,CFR20212022_BenchMarkDataReport!$B$4:$CL$90,68,0),0)</f>
        <v>0</v>
      </c>
      <c r="AY5" s="258">
        <f>IFERROR(VLOOKUP(A5,CFR20212022_BenchMarkDataReport!$B$4:$CL$90,69,0),0)</f>
        <v>0</v>
      </c>
      <c r="AZ5" s="258">
        <f>IFERROR(VLOOKUP(A5,CFR20212022_BenchMarkDataReport!$B$4:$CL$90,70,0),0)</f>
        <v>0</v>
      </c>
      <c r="BA5" s="258">
        <f>IFERROR(VLOOKUP(A5,CFR20212022_BenchMarkDataReport!$B$4:$CL$90,71,0),0)</f>
        <v>0</v>
      </c>
      <c r="BB5" s="258">
        <f>IFERROR(VLOOKUP(A5,CFR20212022_BenchMarkDataReport!$B$4:$CL$90,72,0),0)</f>
        <v>0</v>
      </c>
      <c r="BC5" s="259">
        <f>SUM(D5:R5)+U5</f>
        <v>0</v>
      </c>
      <c r="BD5" s="260">
        <f>SUM(V5:AZ5)</f>
        <v>0</v>
      </c>
      <c r="BE5" s="259">
        <f>BC5-BD5</f>
        <v>0</v>
      </c>
      <c r="BF5" s="258">
        <f>IFERROR(VLOOKUP(A5,CFR20212022_BenchMarkDataReport!$B$4:$CL$90,16,0),0)</f>
        <v>0</v>
      </c>
      <c r="BG5" s="259">
        <f>SUM(BE5:BF5)</f>
        <v>0</v>
      </c>
      <c r="BH5" s="261">
        <f>IFERROR(VLOOKUP(A5,'Pupil Nos BenchmarkData 21-22'!$A$6:$E$94,5,0),0)</f>
        <v>0</v>
      </c>
      <c r="BI5" s="260">
        <f t="shared" ref="BI5:BI67" si="1">D5+E5+F5</f>
        <v>0</v>
      </c>
      <c r="BJ5" s="227" t="s">
        <v>181</v>
      </c>
      <c r="BK5" s="262">
        <f>IFERROR(D5/BC5,0)</f>
        <v>0</v>
      </c>
      <c r="BL5" s="263">
        <f>IFERROR(D5/BH5,0)</f>
        <v>0</v>
      </c>
      <c r="BM5" s="264">
        <f>IFERROR((E5/BC5),0)</f>
        <v>0</v>
      </c>
      <c r="BN5" s="265">
        <f>IFERROR(E5/BH5,0)</f>
        <v>0</v>
      </c>
      <c r="BO5" s="262">
        <f>IFERROR((F5/BC5),0)</f>
        <v>0</v>
      </c>
      <c r="BP5" s="263">
        <f>IFERROR(F5/BH5,0)</f>
        <v>0</v>
      </c>
      <c r="BQ5" s="264">
        <f>IFERROR((G5/BC5),0)</f>
        <v>0</v>
      </c>
      <c r="BR5" s="265">
        <f>IFERROR(G5/BH5,0)</f>
        <v>0</v>
      </c>
      <c r="BS5" s="262">
        <f>IFERROR((H5/BC5),0)</f>
        <v>0</v>
      </c>
      <c r="BT5" s="263">
        <f>IFERROR(H5/BH5,0)</f>
        <v>0</v>
      </c>
      <c r="BU5" s="264">
        <f>IFERROR(I5/BC5,0)</f>
        <v>0</v>
      </c>
      <c r="BV5" s="265">
        <f>IFERROR(I5/BH5,0)</f>
        <v>0</v>
      </c>
      <c r="BW5" s="262">
        <f>IFERROR(J5/BC5,0)</f>
        <v>0</v>
      </c>
      <c r="BX5" s="263">
        <f>IFERROR(J5/BH5,0)</f>
        <v>0</v>
      </c>
      <c r="BY5" s="264">
        <f>IFERROR((K5+L5)/BC5,0)</f>
        <v>0</v>
      </c>
      <c r="BZ5" s="266">
        <f>IFERROR((K5+L5)/BH5,0)</f>
        <v>0</v>
      </c>
      <c r="CA5" s="267">
        <f>IFERROR(P5/BC5,0)</f>
        <v>0</v>
      </c>
      <c r="CB5" s="268">
        <f>IFERROR(P5/BH5,0)</f>
        <v>0</v>
      </c>
      <c r="CC5" s="264">
        <f>IFERROR(Q5/BC5,0)</f>
        <v>0</v>
      </c>
      <c r="CD5" s="265">
        <f>IFERROR((Q5/BH5),0)</f>
        <v>0</v>
      </c>
      <c r="CE5" s="269">
        <f>IFERROR((V5+W5+AU5)/BI5,0)</f>
        <v>0</v>
      </c>
      <c r="CF5" s="267">
        <f>IFERROR((V5+W5+AU5)/BC5,0)</f>
        <v>0</v>
      </c>
      <c r="CG5" s="267">
        <f>IFERROR((V5+W5+AU5)/BD5,0)</f>
        <v>0</v>
      </c>
      <c r="CH5" s="268">
        <f>IFERROR(((V5+W5+AU5)/BH5),0)</f>
        <v>0</v>
      </c>
      <c r="CI5" s="264">
        <f>IFERROR(X5/BI5,0)</f>
        <v>0</v>
      </c>
      <c r="CJ5" s="270">
        <f>IFERROR(X5/BC5,0)</f>
        <v>0</v>
      </c>
      <c r="CK5" s="270">
        <f>IFERROR(X5/BD5,0)</f>
        <v>0</v>
      </c>
      <c r="CL5" s="271">
        <f>IFERROR((X5/BH5),0)</f>
        <v>0</v>
      </c>
      <c r="CM5" s="269">
        <f>IFERROR(Y5/BI5,0)</f>
        <v>0</v>
      </c>
      <c r="CN5" s="267">
        <f>IFERROR(Y5/BC5,0)</f>
        <v>0</v>
      </c>
      <c r="CO5" s="267">
        <f>IFERROR(Y5/BD5,0)</f>
        <v>0</v>
      </c>
      <c r="CP5" s="268">
        <f>IFERROR((Y5/BH5),0)</f>
        <v>0</v>
      </c>
      <c r="CQ5" s="264">
        <f>IFERROR(Z5/BI5,0)</f>
        <v>0</v>
      </c>
      <c r="CR5" s="270">
        <f>IFERROR(Z5/BC5,0)</f>
        <v>0</v>
      </c>
      <c r="CS5" s="270">
        <f>IFERROR(Z5/BD5,0)</f>
        <v>0</v>
      </c>
      <c r="CT5" s="265">
        <f>IFERROR(Z5/BH5,0)</f>
        <v>0</v>
      </c>
      <c r="CU5" s="269">
        <f>IFERROR((V5+W5+X5+Y5+Z5+AA5+AB5)/BI5,0)</f>
        <v>0</v>
      </c>
      <c r="CV5" s="267">
        <f>IFERROR((V5+W5+X5+Y5+Z5+AA5+AB5)/BC5,0)</f>
        <v>0</v>
      </c>
      <c r="CW5" s="267">
        <f>IFERROR((V5+W5+X5+Y5+Z5+AA5+AB5)/BD5,0)</f>
        <v>0</v>
      </c>
      <c r="CX5" s="268">
        <f>IFERROR(((V5+W5+X5+Y5+Z5+AA5+AB5)/BH5),0)</f>
        <v>0</v>
      </c>
      <c r="CY5" s="264">
        <f>IFERROR(AG5/BI5,0)</f>
        <v>0</v>
      </c>
      <c r="CZ5" s="270">
        <f>IFERROR(AG5/BD5,0)</f>
        <v>0</v>
      </c>
      <c r="DA5" s="265">
        <f>IFERROR((AG5/BH5),0)</f>
        <v>0</v>
      </c>
      <c r="DB5" s="269">
        <f>IFERROR(AJ5/BD5,0)</f>
        <v>0</v>
      </c>
      <c r="DC5" s="268">
        <f>IFERROR((AJ5/BH5),0)</f>
        <v>0</v>
      </c>
      <c r="DD5" s="264">
        <f>IFERROR(AK5/BI5,0)</f>
        <v>0</v>
      </c>
      <c r="DE5" s="270">
        <f>IFERROR(AK5/BD5,0)</f>
        <v>0</v>
      </c>
      <c r="DF5" s="265">
        <f>IFERROR((AK5/BH5),0)</f>
        <v>0</v>
      </c>
      <c r="DG5" s="269">
        <f>IFERROR(AM5/BI5,0)</f>
        <v>0</v>
      </c>
      <c r="DH5" s="267">
        <f>IFERROR(AM5/BD5,0)</f>
        <v>0</v>
      </c>
      <c r="DI5" s="272">
        <f>IFERROR((AM5/BH41),0)</f>
        <v>0</v>
      </c>
      <c r="DJ5" s="264">
        <f>IFERROR(AN5/BI5,0)</f>
        <v>0</v>
      </c>
      <c r="DK5" s="270">
        <f>IFERROR(AN5/BC5,0)</f>
        <v>0</v>
      </c>
      <c r="DL5" s="270">
        <f>IFERROR(AN5/BD5,0)</f>
        <v>0</v>
      </c>
      <c r="DM5" s="265">
        <f>IFERROR((AN5/BH5),0)</f>
        <v>0</v>
      </c>
      <c r="DN5" s="269">
        <f>IFERROR(AQ5/BI5,0)</f>
        <v>0</v>
      </c>
      <c r="DO5" s="267">
        <f>IFERROR(AQ5/BD5,0)</f>
        <v>0</v>
      </c>
      <c r="DP5" s="268">
        <f>IFERROR((AQ5/BH5),0)</f>
        <v>0</v>
      </c>
      <c r="DQ5" s="264">
        <f>IFERROR(AV5/BI5,0)</f>
        <v>0</v>
      </c>
      <c r="DR5" s="270">
        <f>IFERROR(AV5/BD5,0)</f>
        <v>0</v>
      </c>
      <c r="DS5" s="265">
        <f>IFERROR(AV5/BH5,0)</f>
        <v>0</v>
      </c>
      <c r="DT5" s="269">
        <f>IFERROR(AT5/BD5,0)</f>
        <v>0</v>
      </c>
      <c r="DU5" s="268">
        <f>IFERROR((AT5/BH5),0)</f>
        <v>0</v>
      </c>
      <c r="DV5" s="264">
        <f t="shared" ref="DV5:DV68" si="2">IFERROR(AI5/BD5,0)</f>
        <v>0</v>
      </c>
      <c r="DW5" s="265">
        <f t="shared" ref="DW5:DW68" si="3">IFERROR((AI5/BH5),0)</f>
        <v>0</v>
      </c>
      <c r="DX5" s="264">
        <f>IFERROR(EB5/BI5,0)</f>
        <v>0</v>
      </c>
      <c r="DY5" s="270">
        <f>IFERROR(EB5/BC5,0)</f>
        <v>0</v>
      </c>
      <c r="DZ5" s="270">
        <f>IFERROR(EB5/BD5,0)</f>
        <v>0</v>
      </c>
      <c r="EA5" s="265">
        <f>IFERROR((EB5/BH5),0)</f>
        <v>0</v>
      </c>
      <c r="EB5" s="273">
        <f>IFERROR(VLOOKUP(A5,'BARNET SCHS PUPIL PREMIUM Nos'!$E$31:$V$117,17,0),0)</f>
        <v>0</v>
      </c>
      <c r="EC5" s="258">
        <f>IFERROR(VLOOKUP(A5,CFR20212022_BenchMarkDataReport!$B$4:$CL$90,36,0),0)</f>
        <v>0</v>
      </c>
      <c r="ED5" s="258">
        <f>IFERROR(VLOOKUP(A5,CFR20212022_BenchMarkDataReport!$B$4:$CL$90,37,0),0)</f>
        <v>0</v>
      </c>
      <c r="EE5" s="258">
        <f>IFERROR(VLOOKUP(A5,CFR20212022_BenchMarkDataReport!$B$4:$CL$90,38,0),0)</f>
        <v>0</v>
      </c>
      <c r="EF5" s="258">
        <f>IFERROR(VLOOKUP(A5,CFR20212022_BenchMarkDataReport!$B$4:$CL$90,39,0),0)</f>
        <v>0</v>
      </c>
      <c r="EG5" s="227"/>
    </row>
    <row r="6" spans="1:230" s="5" customFormat="1">
      <c r="A6" s="274">
        <v>1000</v>
      </c>
      <c r="B6" s="256">
        <v>10135</v>
      </c>
      <c r="C6" s="275" t="s">
        <v>361</v>
      </c>
      <c r="D6" s="258">
        <f>IFERROR(VLOOKUP(A6,CFR20212022_BenchMarkDataReport!$B$4:$CL$90,19,0),0)</f>
        <v>1123918.44</v>
      </c>
      <c r="E6" s="258">
        <f>IFERROR(VLOOKUP(A6,CFR20212022_BenchMarkDataReport!$B$4:$CL$90,20,0),0)</f>
        <v>0</v>
      </c>
      <c r="F6" s="258">
        <f>IFERROR(VLOOKUP(A6,CFR20212022_BenchMarkDataReport!$B$4:$CL$90,21,0),0)</f>
        <v>46448.01</v>
      </c>
      <c r="G6" s="258">
        <f>IFERROR(VLOOKUP(A6,CFR20212022_BenchMarkDataReport!$B$4:$CL$90,22,0),0)</f>
        <v>0</v>
      </c>
      <c r="H6" s="258">
        <f>IFERROR(VLOOKUP(A6,CFR20212022_BenchMarkDataReport!$B$4:$CL$90,23,0),0)</f>
        <v>0</v>
      </c>
      <c r="I6" s="258">
        <f>IFERROR(VLOOKUP(A6,CFR20212022_BenchMarkDataReport!$B$4:$CL$90,24,0),0)</f>
        <v>136044</v>
      </c>
      <c r="J6" s="258">
        <f>IFERROR(VLOOKUP(A6,CFR20212022_BenchMarkDataReport!$B$4:$CL$90,25,0),0)</f>
        <v>68467.56</v>
      </c>
      <c r="K6" s="258">
        <f>IFERROR(VLOOKUP(A6,CFR20212022_BenchMarkDataReport!$B$4:$CL$90,26,0),0)</f>
        <v>21240</v>
      </c>
      <c r="L6" s="258">
        <f>IFERROR(VLOOKUP(A6,CFR20212022_BenchMarkDataReport!$B$4:$CL$90,27,0),0)</f>
        <v>729752.52</v>
      </c>
      <c r="M6" s="258">
        <f>IFERROR(VLOOKUP(A6,CFR20212022_BenchMarkDataReport!$B$4:$CL$90,28,0),0)</f>
        <v>12978.19</v>
      </c>
      <c r="N6" s="258">
        <f>IFERROR(VLOOKUP(A6,CFR20212022_BenchMarkDataReport!$B$4:$CL$90,29,0),0)</f>
        <v>0</v>
      </c>
      <c r="O6" s="258">
        <f>IFERROR(VLOOKUP(A6,CFR20212022_BenchMarkDataReport!$B$4:$CL$90,30,0),0)</f>
        <v>0</v>
      </c>
      <c r="P6" s="258">
        <f>IFERROR(VLOOKUP(A6,CFR20212022_BenchMarkDataReport!$B$4:$CL$90,31,0),0)</f>
        <v>0</v>
      </c>
      <c r="Q6" s="258">
        <f>IFERROR(VLOOKUP(A6,CFR20212022_BenchMarkDataReport!$B$4:$CL$90,32,0),0)</f>
        <v>12839.14</v>
      </c>
      <c r="R6" s="258">
        <f>IFERROR(VLOOKUP(A6,CFR20212022_BenchMarkDataReport!$B$4:$CL$90,33,0),0)</f>
        <v>0</v>
      </c>
      <c r="S6" s="258">
        <f>IFERROR(VLOOKUP(A6,CFR20212022_BenchMarkDataReport!$B$4:$CL$90,34,0),0)</f>
        <v>149294.01</v>
      </c>
      <c r="T6" s="258">
        <f>IFERROR(VLOOKUP(A6,CFR20212022_BenchMarkDataReport!$B$4:$CL$90,35,0),0)</f>
        <v>1036.94</v>
      </c>
      <c r="U6" s="258">
        <f t="shared" ref="U6" si="4">SUM(EC6:EF6)</f>
        <v>0</v>
      </c>
      <c r="V6" s="258">
        <f>IFERROR(VLOOKUP(A6,CFR20212022_BenchMarkDataReport!$B$4:$CL$90,40,0),0)</f>
        <v>424669.11</v>
      </c>
      <c r="W6" s="258">
        <f>IFERROR(VLOOKUP(A6,CFR20212022_BenchMarkDataReport!$B$4:$CL$90,41,0),0)</f>
        <v>0</v>
      </c>
      <c r="X6" s="258">
        <f>IFERROR(VLOOKUP(A6,CFR20212022_BenchMarkDataReport!$B$4:$CL$90,42,0),0)</f>
        <v>1314308.6200000001</v>
      </c>
      <c r="Y6" s="258">
        <f>IFERROR(VLOOKUP(A6,CFR20212022_BenchMarkDataReport!$B$4:$CL$90,43,0),0)</f>
        <v>50841.75</v>
      </c>
      <c r="Z6" s="258">
        <f>IFERROR(VLOOKUP(A6,CFR20212022_BenchMarkDataReport!$B$4:$CL$90,44,0),0)</f>
        <v>85635.37</v>
      </c>
      <c r="AA6" s="258">
        <f>IFERROR(VLOOKUP(A6,CFR20212022_BenchMarkDataReport!$B$4:$CL$90,45,0),0)</f>
        <v>0</v>
      </c>
      <c r="AB6" s="258">
        <f>IFERROR(VLOOKUP(A6,CFR20212022_BenchMarkDataReport!$B$4:$CL$90,46,0),0)</f>
        <v>71309.36</v>
      </c>
      <c r="AC6" s="258">
        <f>IFERROR(VLOOKUP(A6,CFR20212022_BenchMarkDataReport!$B$4:$CL$90,47,0),0)</f>
        <v>7601.75</v>
      </c>
      <c r="AD6" s="258">
        <f>IFERROR(VLOOKUP(A6,CFR20212022_BenchMarkDataReport!$B$4:$CL$90,48,0),0)</f>
        <v>906.93</v>
      </c>
      <c r="AE6" s="258">
        <f>IFERROR(VLOOKUP(A6,CFR20212022_BenchMarkDataReport!$B$4:$CL$90,49,0),0)</f>
        <v>0</v>
      </c>
      <c r="AF6" s="258">
        <f>IFERROR(VLOOKUP(A6,CFR20212022_BenchMarkDataReport!$B$4:$CL$90,50,0),0)</f>
        <v>0</v>
      </c>
      <c r="AG6" s="258">
        <f>IFERROR(VLOOKUP(A6,CFR20212022_BenchMarkDataReport!$B$4:$CL$90,51,0),0)</f>
        <v>16351.86</v>
      </c>
      <c r="AH6" s="258">
        <f>IFERROR(VLOOKUP(A6,CFR20212022_BenchMarkDataReport!$B$4:$CL$90,52,0),0)</f>
        <v>5236.04</v>
      </c>
      <c r="AI6" s="258">
        <f>IFERROR(VLOOKUP(A6,CFR20212022_BenchMarkDataReport!$B$4:$CL$90,53,0),0)</f>
        <v>6432.69</v>
      </c>
      <c r="AJ6" s="258">
        <f>IFERROR(VLOOKUP(A6,CFR20212022_BenchMarkDataReport!$B$4:$CL$90,54,0),0)</f>
        <v>2573.94</v>
      </c>
      <c r="AK6" s="258">
        <f>IFERROR(VLOOKUP(A6,CFR20212022_BenchMarkDataReport!$B$4:$CL$90,55,0),0)</f>
        <v>19635.7</v>
      </c>
      <c r="AL6" s="258">
        <f>IFERROR(VLOOKUP(A6,CFR20212022_BenchMarkDataReport!$B$4:$CL$90,56,0),0)</f>
        <v>6603.93</v>
      </c>
      <c r="AM6" s="258">
        <f>IFERROR(VLOOKUP(A6,CFR20212022_BenchMarkDataReport!$B$4:$CL$90,57,0),0)</f>
        <v>15445.24</v>
      </c>
      <c r="AN6" s="258">
        <f>IFERROR(VLOOKUP(A6,CFR20212022_BenchMarkDataReport!$B$4:$CL$90,58,0),0)</f>
        <v>38536.230000000003</v>
      </c>
      <c r="AO6" s="258">
        <f>IFERROR(VLOOKUP(A6,CFR20212022_BenchMarkDataReport!$B$4:$CL$90,59,0),0)</f>
        <v>16953.439999999999</v>
      </c>
      <c r="AP6" s="258">
        <f>IFERROR(VLOOKUP(A6,CFR20212022_BenchMarkDataReport!$B$4:$CL$90,60,0),0)</f>
        <v>0</v>
      </c>
      <c r="AQ6" s="258">
        <f>IFERROR(VLOOKUP(A6,CFR20212022_BenchMarkDataReport!$B$4:$CL$90,61,0),0)</f>
        <v>28034.13</v>
      </c>
      <c r="AR6" s="258">
        <f>IFERROR(VLOOKUP(A6,CFR20212022_BenchMarkDataReport!$B$4:$CL$90,62,0),0)</f>
        <v>7429</v>
      </c>
      <c r="AS6" s="258">
        <f>IFERROR(VLOOKUP(A6,CFR20212022_BenchMarkDataReport!$B$4:$CL$90,63,0),0)</f>
        <v>1682.11</v>
      </c>
      <c r="AT6" s="258">
        <f>IFERROR(VLOOKUP(A6,CFR20212022_BenchMarkDataReport!$B$4:$CL$90,64,0),0)</f>
        <v>12612.5</v>
      </c>
      <c r="AU6" s="258">
        <f>IFERROR(VLOOKUP(A6,CFR20212022_BenchMarkDataReport!$B$4:$CL$90,65,0),0)</f>
        <v>0</v>
      </c>
      <c r="AV6" s="258">
        <f>IFERROR(VLOOKUP(A6,CFR20212022_BenchMarkDataReport!$B$4:$CL$90,66,0),0)</f>
        <v>16903</v>
      </c>
      <c r="AW6" s="258">
        <f>IFERROR(VLOOKUP(A6,CFR20212022_BenchMarkDataReport!$B$4:$CL$90,67,0),0)</f>
        <v>43779</v>
      </c>
      <c r="AX6" s="258">
        <f>IFERROR(VLOOKUP(A6,CFR20212022_BenchMarkDataReport!$B$4:$CL$90,68,0),0)</f>
        <v>0</v>
      </c>
      <c r="AY6" s="258">
        <f>IFERROR(VLOOKUP(A6,CFR20212022_BenchMarkDataReport!$B$4:$CL$90,69,0),0)</f>
        <v>0</v>
      </c>
      <c r="AZ6" s="258">
        <f>IFERROR(VLOOKUP(A6,CFR20212022_BenchMarkDataReport!$B$4:$CL$90,70,0),0)</f>
        <v>0</v>
      </c>
      <c r="BA6" s="258">
        <f>IFERROR(VLOOKUP(A6,CFR20212022_BenchMarkDataReport!$B$4:$CL$90,71,0),0)</f>
        <v>173176.22</v>
      </c>
      <c r="BB6" s="258">
        <f>IFERROR(VLOOKUP(A6,CFR20212022_BenchMarkDataReport!$B$4:$CL$90,72,0),0)</f>
        <v>29212.51</v>
      </c>
      <c r="BC6" s="259">
        <f>SUM(D6:R6)+U6</f>
        <v>2151687.8600000003</v>
      </c>
      <c r="BD6" s="260">
        <f>SUM(V6:AZ6)</f>
        <v>2193481.6999999997</v>
      </c>
      <c r="BE6" s="259">
        <f>BC6-BD6</f>
        <v>-41793.839999999385</v>
      </c>
      <c r="BF6" s="258">
        <f>IFERROR(VLOOKUP(A6,CFR20212022_BenchMarkDataReport!$B$4:$CL$90,16,0),0)</f>
        <v>-28166.18</v>
      </c>
      <c r="BG6" s="259">
        <f>SUM(BE6:BF6)</f>
        <v>-69960.019999999378</v>
      </c>
      <c r="BH6" s="261">
        <f>IFERROR(VLOOKUP(A6,'Pupil Nos BenchmarkData 21-22'!$A$6:$E$94,5,0),0)</f>
        <v>176</v>
      </c>
      <c r="BI6" s="260">
        <f t="shared" si="1"/>
        <v>1170366.45</v>
      </c>
      <c r="BJ6" s="227" t="s">
        <v>181</v>
      </c>
      <c r="BK6" s="262">
        <f>IFERROR(D6/BC6,0)</f>
        <v>0.52234269704900405</v>
      </c>
      <c r="BL6" s="263">
        <f>IFERROR(D6/BH6,0)</f>
        <v>6385.9002272727266</v>
      </c>
      <c r="BM6" s="264">
        <f>E6/BC6</f>
        <v>0</v>
      </c>
      <c r="BN6" s="265">
        <f>IFERROR(E6/BH6,0)</f>
        <v>0</v>
      </c>
      <c r="BO6" s="262">
        <f>F6/BC6</f>
        <v>2.1586778855553889E-2</v>
      </c>
      <c r="BP6" s="263">
        <f>IFERROR(F6/BH6,0)</f>
        <v>263.90914772727274</v>
      </c>
      <c r="BQ6" s="264">
        <f>G6/BC6</f>
        <v>0</v>
      </c>
      <c r="BR6" s="265">
        <f>IFERROR(G6/BH6,0)</f>
        <v>0</v>
      </c>
      <c r="BS6" s="262">
        <f>H6/BC6</f>
        <v>0</v>
      </c>
      <c r="BT6" s="263">
        <f>IFERROR(H6/BH6,0)</f>
        <v>0</v>
      </c>
      <c r="BU6" s="264">
        <f>IFERROR(I6/BC6,0)</f>
        <v>6.3226642920223564E-2</v>
      </c>
      <c r="BV6" s="265">
        <f>IFERROR(I6/BH6,0)</f>
        <v>772.97727272727275</v>
      </c>
      <c r="BW6" s="262">
        <f>IFERROR(J6/BC6,0)</f>
        <v>3.1820396105223171E-2</v>
      </c>
      <c r="BX6" s="263">
        <f>IFERROR(J6/BH6,0)</f>
        <v>389.02022727272725</v>
      </c>
      <c r="BY6" s="264">
        <f>IFERROR((K6+L6)/BC6,0)</f>
        <v>0.34902484415188356</v>
      </c>
      <c r="BZ6" s="266">
        <f>IFERROR((K6+L6)/BH6,0)</f>
        <v>4267.0029545454545</v>
      </c>
      <c r="CA6" s="267">
        <f>IFERROR(P6/BC6,0)</f>
        <v>0</v>
      </c>
      <c r="CB6" s="268">
        <f>IFERROR(P6/BH6,0)</f>
        <v>0</v>
      </c>
      <c r="CC6" s="264">
        <f>IFERROR(Q6/BC6,0)</f>
        <v>5.9670086162032804E-3</v>
      </c>
      <c r="CD6" s="265">
        <f>Q6/BH6</f>
        <v>72.949659090909094</v>
      </c>
      <c r="CE6" s="269">
        <f>IFERROR((V6+W6+AU6)/BI6,0)</f>
        <v>0.36285140436142888</v>
      </c>
      <c r="CF6" s="267">
        <f>IFERROR((V6+W6+AU6)/BC6,0)</f>
        <v>0.19736557420554482</v>
      </c>
      <c r="CG6" s="267">
        <f>IFERROR((V6+W6+AU6)/BD6,0)</f>
        <v>0.19360503896613318</v>
      </c>
      <c r="CH6" s="268">
        <f>(V6+W6+AU6)/BH6</f>
        <v>2412.8926704545452</v>
      </c>
      <c r="CI6" s="264">
        <f>IFERROR(X6/BI6,0)</f>
        <v>1.1229889749488291</v>
      </c>
      <c r="CJ6" s="270">
        <f>IFERROR(X6/BC6,0)</f>
        <v>0.61082680459051342</v>
      </c>
      <c r="CK6" s="270">
        <f>IFERROR(X6/BD6,0)</f>
        <v>0.59918832238263042</v>
      </c>
      <c r="CL6" s="271">
        <f>X6/BH6</f>
        <v>7467.6626136363639</v>
      </c>
      <c r="CM6" s="269">
        <f>IFERROR(Y6/BI6,0)</f>
        <v>4.3440881272698822E-2</v>
      </c>
      <c r="CN6" s="267">
        <f>IFERROR(Y6/BC6,0)</f>
        <v>2.3628775783491193E-2</v>
      </c>
      <c r="CO6" s="267">
        <f>IFERROR(Y6/BD6,0)</f>
        <v>2.3178561279996093E-2</v>
      </c>
      <c r="CP6" s="268">
        <f>Y6/BH6</f>
        <v>288.87357954545456</v>
      </c>
      <c r="CQ6" s="264">
        <f>IFERROR(Z6/BI6,0)</f>
        <v>7.3169706804223578E-2</v>
      </c>
      <c r="CR6" s="270">
        <f>IFERROR(Z6/BC6,0)</f>
        <v>3.9799160274111497E-2</v>
      </c>
      <c r="CS6" s="270">
        <f>IFERROR(Z6/BD6,0)</f>
        <v>3.9040840869563671E-2</v>
      </c>
      <c r="CT6" s="265">
        <f>IFERROR(Z6/BH6,0)</f>
        <v>486.56460227272726</v>
      </c>
      <c r="CU6" s="269">
        <f>IFERROR((V6+W6+X6+Y6+Z6+AA6+AB6)/BI6,0)</f>
        <v>1.6633800550246465</v>
      </c>
      <c r="CV6" s="267">
        <f>IFERROR((V6+W6+X6+Y6+Z6+AA6+AB6)/BC6,0)</f>
        <v>0.90476144155965066</v>
      </c>
      <c r="CW6" s="267">
        <f>IFERROR((V6+W6+X6+Y6+Z6+AA6+AB6)/BD6,0)</f>
        <v>0.88752243066354297</v>
      </c>
      <c r="CX6" s="268">
        <f>(V6+W6+X6+Y6+Z6+AA6+AB6)/BH6</f>
        <v>11061.160284090911</v>
      </c>
      <c r="CY6" s="264">
        <f>IFERROR(AG6/BI6,0)</f>
        <v>1.3971572749714417E-2</v>
      </c>
      <c r="CZ6" s="270">
        <f>IFERROR(AG6/BD6,0)</f>
        <v>7.45475104715941E-3</v>
      </c>
      <c r="DA6" s="265">
        <f>AG6/BH6</f>
        <v>92.908295454545453</v>
      </c>
      <c r="DB6" s="269">
        <f>IFERROR(AJ6/BD6,0)</f>
        <v>1.1734494981198158E-3</v>
      </c>
      <c r="DC6" s="268">
        <f>AJ6/BH6</f>
        <v>14.624659090909091</v>
      </c>
      <c r="DD6" s="264">
        <f>IFERROR(AK6/BI6,0)</f>
        <v>1.6777394806558238E-2</v>
      </c>
      <c r="DE6" s="270">
        <f>IFERROR(AK6/BD6,0)</f>
        <v>8.9518412667860432E-3</v>
      </c>
      <c r="DF6" s="265">
        <f>AK6/BH6</f>
        <v>111.56647727272728</v>
      </c>
      <c r="DG6" s="269">
        <f>IFERROR(AM6/BI6,0)</f>
        <v>1.3196926484008492E-2</v>
      </c>
      <c r="DH6" s="267">
        <f>IFERROR(AM6/BD6,0)</f>
        <v>7.0414264226594647E-3</v>
      </c>
      <c r="DI6" s="272">
        <f>AM6/BH6</f>
        <v>87.757045454545448</v>
      </c>
      <c r="DJ6" s="264">
        <f>IFERROR(AN6/BI6,0)</f>
        <v>3.2926635926721931E-2</v>
      </c>
      <c r="DK6" s="270">
        <f>IFERROR(AN6/BC6,0)</f>
        <v>1.7909767822922047E-2</v>
      </c>
      <c r="DL6" s="270">
        <f>IFERROR(AN6/BD6,0)</f>
        <v>1.7568521314766387E-2</v>
      </c>
      <c r="DM6" s="265">
        <f>AN6/BH6</f>
        <v>218.9558522727273</v>
      </c>
      <c r="DN6" s="269">
        <f>IFERROR(AQ6/BI6,0)</f>
        <v>2.3953292577722132E-2</v>
      </c>
      <c r="DO6" s="267">
        <f>IFERROR(AQ6/BD6,0)</f>
        <v>1.2780653697726315E-2</v>
      </c>
      <c r="DP6" s="268">
        <f>AQ6/BH6</f>
        <v>159.28482954545456</v>
      </c>
      <c r="DQ6" s="264">
        <f>IFERROR(AV6/BI6,0)</f>
        <v>1.4442485086615393E-2</v>
      </c>
      <c r="DR6" s="270">
        <f>IFERROR(AV6/BD6,0)</f>
        <v>7.7060136859131321E-3</v>
      </c>
      <c r="DS6" s="265">
        <f>IFERROR(AV6/BH6,0)</f>
        <v>96.039772727272734</v>
      </c>
      <c r="DT6" s="269">
        <f>IFERROR(AT6/BD6,0)</f>
        <v>5.7499909846523917E-3</v>
      </c>
      <c r="DU6" s="268">
        <f>AT6/BH6</f>
        <v>71.661931818181813</v>
      </c>
      <c r="DV6" s="264">
        <f t="shared" si="2"/>
        <v>2.9326390094797693E-3</v>
      </c>
      <c r="DW6" s="265">
        <f t="shared" si="3"/>
        <v>36.549374999999998</v>
      </c>
      <c r="DX6" s="264">
        <f>IFERROR(EB6/BI6,0)</f>
        <v>0</v>
      </c>
      <c r="DY6" s="270">
        <f>IFERROR(EB6/BC6,0)</f>
        <v>0</v>
      </c>
      <c r="DZ6" s="270">
        <f>IFERROR(EB6/BD6,0)</f>
        <v>0</v>
      </c>
      <c r="EA6" s="265">
        <f>EB6/BH6</f>
        <v>0</v>
      </c>
      <c r="EB6" s="273">
        <f>IFERROR(VLOOKUP(A6,'BARNET SCHS PUPIL PREMIUM Nos'!$E$31:$V$117,17,0),0)</f>
        <v>0</v>
      </c>
      <c r="EC6" s="258">
        <f>IFERROR(VLOOKUP(A6,CFR20212022_BenchMarkDataReport!$B$4:$CL$90,36,0),0)</f>
        <v>0</v>
      </c>
      <c r="ED6" s="258">
        <f>IFERROR(VLOOKUP(A6,CFR20212022_BenchMarkDataReport!$B$4:$CL$90,37,0),0)</f>
        <v>0</v>
      </c>
      <c r="EE6" s="258">
        <f>IFERROR(VLOOKUP(A6,CFR20212022_BenchMarkDataReport!$B$4:$CL$90,38,0),0)</f>
        <v>0</v>
      </c>
      <c r="EF6" s="258">
        <f>IFERROR(VLOOKUP(A6,CFR20212022_BenchMarkDataReport!$B$4:$CL$90,39,0),0)</f>
        <v>0</v>
      </c>
      <c r="EG6" s="227"/>
    </row>
    <row r="7" spans="1:230" s="5" customFormat="1">
      <c r="A7" s="255">
        <v>1002</v>
      </c>
      <c r="B7" s="256">
        <v>10132</v>
      </c>
      <c r="C7" s="257" t="s">
        <v>29</v>
      </c>
      <c r="D7" s="258">
        <f>IFERROR(VLOOKUP(A7,CFR20212022_BenchMarkDataReport!$B$4:$CL$90,19,0),0)</f>
        <v>439322.45</v>
      </c>
      <c r="E7" s="258">
        <f>IFERROR(VLOOKUP(A7,CFR20212022_BenchMarkDataReport!$B$4:$CL$90,20,0),0)</f>
        <v>0</v>
      </c>
      <c r="F7" s="258">
        <f>IFERROR(VLOOKUP(A7,CFR20212022_BenchMarkDataReport!$B$4:$CL$90,21,0),0)</f>
        <v>32357.71</v>
      </c>
      <c r="G7" s="258">
        <f>IFERROR(VLOOKUP(A7,CFR20212022_BenchMarkDataReport!$B$4:$CL$90,22,0),0)</f>
        <v>0</v>
      </c>
      <c r="H7" s="258">
        <f>IFERROR(VLOOKUP(A7,CFR20212022_BenchMarkDataReport!$B$4:$CL$90,23,0),0)</f>
        <v>0</v>
      </c>
      <c r="I7" s="258">
        <f>IFERROR(VLOOKUP(A7,CFR20212022_BenchMarkDataReport!$B$4:$CL$90,24,0),0)</f>
        <v>0</v>
      </c>
      <c r="J7" s="258">
        <f>IFERROR(VLOOKUP(A7,CFR20212022_BenchMarkDataReport!$B$4:$CL$90,25,0),0)</f>
        <v>27617.58</v>
      </c>
      <c r="K7" s="258">
        <f>IFERROR(VLOOKUP(A7,CFR20212022_BenchMarkDataReport!$B$4:$CL$90,26,0),0)</f>
        <v>0</v>
      </c>
      <c r="L7" s="258">
        <f>IFERROR(VLOOKUP(A7,CFR20212022_BenchMarkDataReport!$B$4:$CL$90,27,0),0)</f>
        <v>163090.85</v>
      </c>
      <c r="M7" s="258">
        <f>IFERROR(VLOOKUP(A7,CFR20212022_BenchMarkDataReport!$B$4:$CL$90,28,0),0)</f>
        <v>12929.16</v>
      </c>
      <c r="N7" s="258">
        <f>IFERROR(VLOOKUP(A7,CFR20212022_BenchMarkDataReport!$B$4:$CL$90,29,0),0)</f>
        <v>0</v>
      </c>
      <c r="O7" s="258">
        <f>IFERROR(VLOOKUP(A7,CFR20212022_BenchMarkDataReport!$B$4:$CL$90,30,0),0)</f>
        <v>0</v>
      </c>
      <c r="P7" s="258">
        <f>IFERROR(VLOOKUP(A7,CFR20212022_BenchMarkDataReport!$B$4:$CL$90,31,0),0)</f>
        <v>627.20000000000005</v>
      </c>
      <c r="Q7" s="258">
        <f>IFERROR(VLOOKUP(A7,CFR20212022_BenchMarkDataReport!$B$4:$CL$90,32,0),0)</f>
        <v>17448.16</v>
      </c>
      <c r="R7" s="258">
        <f>IFERROR(VLOOKUP(A7,CFR20212022_BenchMarkDataReport!$B$4:$CL$90,33,0),0)</f>
        <v>0</v>
      </c>
      <c r="S7" s="258">
        <f>IFERROR(VLOOKUP(A7,CFR20212022_BenchMarkDataReport!$B$4:$CL$90,34,0),0)</f>
        <v>0</v>
      </c>
      <c r="T7" s="258">
        <f>IFERROR(VLOOKUP(A7,CFR20212022_BenchMarkDataReport!$B$4:$CL$90,35,0),0)</f>
        <v>0</v>
      </c>
      <c r="U7" s="258">
        <f t="shared" si="0"/>
        <v>899.34</v>
      </c>
      <c r="V7" s="258">
        <f>IFERROR(VLOOKUP(A7,CFR20212022_BenchMarkDataReport!$B$4:$CL$90,40,0),0)</f>
        <v>234537.87</v>
      </c>
      <c r="W7" s="258">
        <f>IFERROR(VLOOKUP(A7,CFR20212022_BenchMarkDataReport!$B$4:$CL$90,41,0),0)</f>
        <v>0</v>
      </c>
      <c r="X7" s="258">
        <f>IFERROR(VLOOKUP(A7,CFR20212022_BenchMarkDataReport!$B$4:$CL$90,42,0),0)</f>
        <v>253042.26</v>
      </c>
      <c r="Y7" s="258">
        <f>IFERROR(VLOOKUP(A7,CFR20212022_BenchMarkDataReport!$B$4:$CL$90,43,0),0)</f>
        <v>35010.9</v>
      </c>
      <c r="Z7" s="258">
        <f>IFERROR(VLOOKUP(A7,CFR20212022_BenchMarkDataReport!$B$4:$CL$90,44,0),0)</f>
        <v>69581.84</v>
      </c>
      <c r="AA7" s="258">
        <f>IFERROR(VLOOKUP(A7,CFR20212022_BenchMarkDataReport!$B$4:$CL$90,45,0),0)</f>
        <v>0</v>
      </c>
      <c r="AB7" s="258">
        <f>IFERROR(VLOOKUP(A7,CFR20212022_BenchMarkDataReport!$B$4:$CL$90,46,0),0)</f>
        <v>50457.43</v>
      </c>
      <c r="AC7" s="258">
        <f>IFERROR(VLOOKUP(A7,CFR20212022_BenchMarkDataReport!$B$4:$CL$90,47,0),0)</f>
        <v>14966.26</v>
      </c>
      <c r="AD7" s="258">
        <f>IFERROR(VLOOKUP(A7,CFR20212022_BenchMarkDataReport!$B$4:$CL$90,48,0),0)</f>
        <v>6146.06</v>
      </c>
      <c r="AE7" s="258">
        <f>IFERROR(VLOOKUP(A7,CFR20212022_BenchMarkDataReport!$B$4:$CL$90,49,0),0)</f>
        <v>0</v>
      </c>
      <c r="AF7" s="258">
        <f>IFERROR(VLOOKUP(A7,CFR20212022_BenchMarkDataReport!$B$4:$CL$90,50,0),0)</f>
        <v>0</v>
      </c>
      <c r="AG7" s="258">
        <f>IFERROR(VLOOKUP(A7,CFR20212022_BenchMarkDataReport!$B$4:$CL$90,51,0),0)</f>
        <v>1833.48</v>
      </c>
      <c r="AH7" s="258">
        <f>IFERROR(VLOOKUP(A7,CFR20212022_BenchMarkDataReport!$B$4:$CL$90,52,0),0)</f>
        <v>888.25</v>
      </c>
      <c r="AI7" s="258">
        <f>IFERROR(VLOOKUP(A7,CFR20212022_BenchMarkDataReport!$B$4:$CL$90,53,0),0)</f>
        <v>2503.02</v>
      </c>
      <c r="AJ7" s="258">
        <f>IFERROR(VLOOKUP(A7,CFR20212022_BenchMarkDataReport!$B$4:$CL$90,54,0),0)</f>
        <v>1383.62</v>
      </c>
      <c r="AK7" s="258">
        <f>IFERROR(VLOOKUP(A7,CFR20212022_BenchMarkDataReport!$B$4:$CL$90,55,0),0)</f>
        <v>6891.15</v>
      </c>
      <c r="AL7" s="258">
        <f>IFERROR(VLOOKUP(A7,CFR20212022_BenchMarkDataReport!$B$4:$CL$90,56,0),0)</f>
        <v>1846.74</v>
      </c>
      <c r="AM7" s="258">
        <f>IFERROR(VLOOKUP(A7,CFR20212022_BenchMarkDataReport!$B$4:$CL$90,57,0),0)</f>
        <v>4312.99</v>
      </c>
      <c r="AN7" s="258">
        <f>IFERROR(VLOOKUP(A7,CFR20212022_BenchMarkDataReport!$B$4:$CL$90,58,0),0)</f>
        <v>8023.86</v>
      </c>
      <c r="AO7" s="258">
        <f>IFERROR(VLOOKUP(A7,CFR20212022_BenchMarkDataReport!$B$4:$CL$90,59,0),0)</f>
        <v>3624.72</v>
      </c>
      <c r="AP7" s="258">
        <f>IFERROR(VLOOKUP(A7,CFR20212022_BenchMarkDataReport!$B$4:$CL$90,60,0),0)</f>
        <v>0</v>
      </c>
      <c r="AQ7" s="258">
        <f>IFERROR(VLOOKUP(A7,CFR20212022_BenchMarkDataReport!$B$4:$CL$90,61,0),0)</f>
        <v>7167.38</v>
      </c>
      <c r="AR7" s="258">
        <f>IFERROR(VLOOKUP(A7,CFR20212022_BenchMarkDataReport!$B$4:$CL$90,62,0),0)</f>
        <v>1710</v>
      </c>
      <c r="AS7" s="258">
        <f>IFERROR(VLOOKUP(A7,CFR20212022_BenchMarkDataReport!$B$4:$CL$90,63,0),0)</f>
        <v>2010.33</v>
      </c>
      <c r="AT7" s="258">
        <f>IFERROR(VLOOKUP(A7,CFR20212022_BenchMarkDataReport!$B$4:$CL$90,64,0),0)</f>
        <v>12929.16</v>
      </c>
      <c r="AU7" s="258">
        <f>IFERROR(VLOOKUP(A7,CFR20212022_BenchMarkDataReport!$B$4:$CL$90,65,0),0)</f>
        <v>22858.83</v>
      </c>
      <c r="AV7" s="258">
        <f>IFERROR(VLOOKUP(A7,CFR20212022_BenchMarkDataReport!$B$4:$CL$90,66,0),0)</f>
        <v>38047.82</v>
      </c>
      <c r="AW7" s="258">
        <f>IFERROR(VLOOKUP(A7,CFR20212022_BenchMarkDataReport!$B$4:$CL$90,67,0),0)</f>
        <v>8059.5</v>
      </c>
      <c r="AX7" s="258">
        <f>IFERROR(VLOOKUP(A7,CFR20212022_BenchMarkDataReport!$B$4:$CL$90,68,0),0)</f>
        <v>0</v>
      </c>
      <c r="AY7" s="258">
        <f>IFERROR(VLOOKUP(A7,CFR20212022_BenchMarkDataReport!$B$4:$CL$90,69,0),0)</f>
        <v>0</v>
      </c>
      <c r="AZ7" s="258">
        <f>IFERROR(VLOOKUP(A7,CFR20212022_BenchMarkDataReport!$B$4:$CL$90,70,0),0)</f>
        <v>0</v>
      </c>
      <c r="BA7" s="258">
        <f>IFERROR(VLOOKUP(A7,CFR20212022_BenchMarkDataReport!$B$4:$CL$90,71,0),0)</f>
        <v>0</v>
      </c>
      <c r="BB7" s="258">
        <f>IFERROR(VLOOKUP(A7,CFR20212022_BenchMarkDataReport!$B$4:$CL$90,72,0),0)</f>
        <v>0</v>
      </c>
      <c r="BC7" s="259">
        <f>SUM(D7:R7)+U7</f>
        <v>694292.45000000007</v>
      </c>
      <c r="BD7" s="260">
        <f>SUM(V7:AZ7)</f>
        <v>787833.47</v>
      </c>
      <c r="BE7" s="259">
        <f>BC7-BD7</f>
        <v>-93541.019999999902</v>
      </c>
      <c r="BF7" s="258">
        <f>IFERROR(VLOOKUP(A7,CFR20212022_BenchMarkDataReport!$B$4:$CL$90,16,0),0)</f>
        <v>-20659.71</v>
      </c>
      <c r="BG7" s="259">
        <f>SUM(BE7:BF7)</f>
        <v>-114200.72999999989</v>
      </c>
      <c r="BH7" s="261">
        <f>IFERROR(VLOOKUP(A7,'Pupil Nos BenchmarkData 21-22'!$A$6:$E$94,5,0),0)</f>
        <v>69.5</v>
      </c>
      <c r="BI7" s="260">
        <f t="shared" si="1"/>
        <v>471680.16000000003</v>
      </c>
      <c r="BJ7" s="227" t="s">
        <v>181</v>
      </c>
      <c r="BK7" s="262">
        <f>IFERROR(D7/BC7,0)</f>
        <v>0.63276282206439083</v>
      </c>
      <c r="BL7" s="263">
        <f>IFERROR(D7/BH7,0)</f>
        <v>6321.186330935252</v>
      </c>
      <c r="BM7" s="264">
        <f>E7/BC7</f>
        <v>0</v>
      </c>
      <c r="BN7" s="265">
        <f>IFERROR(E7/BH7,0)</f>
        <v>0</v>
      </c>
      <c r="BO7" s="262">
        <f>F7/BC7</f>
        <v>4.6605302995877305E-2</v>
      </c>
      <c r="BP7" s="263">
        <f>IFERROR(F7/BH7,0)</f>
        <v>465.5785611510791</v>
      </c>
      <c r="BQ7" s="264">
        <f>G7/BC7</f>
        <v>0</v>
      </c>
      <c r="BR7" s="265">
        <f>IFERROR(G7/BH7,0)</f>
        <v>0</v>
      </c>
      <c r="BS7" s="262">
        <f>H7/BC7</f>
        <v>0</v>
      </c>
      <c r="BT7" s="263">
        <f>IFERROR(H7/BH7,0)</f>
        <v>0</v>
      </c>
      <c r="BU7" s="264">
        <f>IFERROR(I7/BC7,0)</f>
        <v>0</v>
      </c>
      <c r="BV7" s="265">
        <f>IFERROR(I7/BH7,0)</f>
        <v>0</v>
      </c>
      <c r="BW7" s="262">
        <f>IFERROR(J7/BC7,0)</f>
        <v>3.9778021495120677E-2</v>
      </c>
      <c r="BX7" s="263">
        <f>IFERROR(J7/BH7,0)</f>
        <v>397.37525179856118</v>
      </c>
      <c r="BY7" s="264">
        <f>IFERROR((K7+L7)/BC7,0)</f>
        <v>0.234902237522531</v>
      </c>
      <c r="BZ7" s="266">
        <f>IFERROR((K7+L7)/BH7,0)</f>
        <v>2346.6309352517987</v>
      </c>
      <c r="CA7" s="267">
        <f>IFERROR(P7/BC7,0)</f>
        <v>9.0336572146218789E-4</v>
      </c>
      <c r="CB7" s="268">
        <f>IFERROR(P7/BH7,0)</f>
        <v>9.0244604316546777</v>
      </c>
      <c r="CC7" s="264">
        <f>IFERROR(Q7/BC7,0)</f>
        <v>2.513085083958496E-2</v>
      </c>
      <c r="CD7" s="265">
        <f>Q7/BH7</f>
        <v>251.05266187050358</v>
      </c>
      <c r="CE7" s="269">
        <f>(V7+W7+AU7)/BI7</f>
        <v>0.54570177384607399</v>
      </c>
      <c r="CF7" s="267">
        <f>IFERROR((V7+W7+AU7)/BC7,0)</f>
        <v>0.37073239093986976</v>
      </c>
      <c r="CG7" s="267">
        <f>IFERROR((V7+W7+AU7)/BD7,0)</f>
        <v>0.32671460378549294</v>
      </c>
      <c r="CH7" s="268">
        <f>(V7+W7+AU7)/BH7</f>
        <v>3703.5496402877698</v>
      </c>
      <c r="CI7" s="264">
        <f>IFERROR(X7/BI7,0)</f>
        <v>0.53647000967774428</v>
      </c>
      <c r="CJ7" s="270">
        <f>IFERROR(X7/BC7,0)</f>
        <v>0.36446062462583306</v>
      </c>
      <c r="CK7" s="270">
        <f>IFERROR(X7/BD7,0)</f>
        <v>0.32118749664189822</v>
      </c>
      <c r="CL7" s="271">
        <f>X7/BH7</f>
        <v>3640.8958273381295</v>
      </c>
      <c r="CM7" s="269">
        <f>IFERROR(Y7/BI7,0)</f>
        <v>7.4225933098394467E-2</v>
      </c>
      <c r="CN7" s="267">
        <f>IFERROR(Y7/BC7,0)</f>
        <v>5.0426732999905154E-2</v>
      </c>
      <c r="CO7" s="267">
        <f>IFERROR(Y7/BD7,0)</f>
        <v>4.4439467645364196E-2</v>
      </c>
      <c r="CP7" s="268">
        <f>Y7/BH7</f>
        <v>503.7539568345324</v>
      </c>
      <c r="CQ7" s="264">
        <f>IFERROR(Z7/BI7,0)</f>
        <v>0.14751911549555102</v>
      </c>
      <c r="CR7" s="270">
        <f>IFERROR(Z7/BC7,0)</f>
        <v>0.10021978490476166</v>
      </c>
      <c r="CS7" s="270">
        <f>IFERROR(Z7/BD7,0)</f>
        <v>8.832049240050692E-2</v>
      </c>
      <c r="CT7" s="265">
        <f>Z7/BH7</f>
        <v>1001.1775539568345</v>
      </c>
      <c r="CU7" s="269">
        <f>IFERROR((V7+W7+X7+Y7+Z7+AA7+AB7)/BI7,0)</f>
        <v>1.3624280911030899</v>
      </c>
      <c r="CV7" s="267">
        <f>IFERROR((V7+W7+X7+Y7+Z7+AA7+AB7)/BC7,0)</f>
        <v>0.92559021778214634</v>
      </c>
      <c r="CW7" s="267">
        <f>IFERROR((V7+W7+X7+Y7+Z7+AA7+AB7)/BD7,0)</f>
        <v>0.81569306772407124</v>
      </c>
      <c r="CX7" s="268">
        <f>(V7+W7+X7+Y7+Z7+AA7+AB7)/BH7</f>
        <v>9246.4791366906484</v>
      </c>
      <c r="CY7" s="264">
        <f>IFERROR(AG7/BI7,0)</f>
        <v>3.8871255471080233E-3</v>
      </c>
      <c r="CZ7" s="270">
        <f>IFERROR(AG7/BD7,0)</f>
        <v>2.3272430911065508E-3</v>
      </c>
      <c r="DA7" s="265">
        <f>AG7/BH7</f>
        <v>26.381007194244603</v>
      </c>
      <c r="DB7" s="269">
        <f>IFERROR(AJ7/BD7,0)</f>
        <v>1.75623409348171E-3</v>
      </c>
      <c r="DC7" s="268">
        <f>AJ7/BH7</f>
        <v>19.90820143884892</v>
      </c>
      <c r="DD7" s="264">
        <f>IFERROR(AK7/BI7,0)</f>
        <v>1.4609794060449774E-2</v>
      </c>
      <c r="DE7" s="270">
        <f>IFERROR(AK7/BD7,0)</f>
        <v>8.7469627305882293E-3</v>
      </c>
      <c r="DF7" s="265">
        <f>AK7/BH7</f>
        <v>99.153237410071938</v>
      </c>
      <c r="DG7" s="269">
        <f>IFERROR(AM7/BI7,0)</f>
        <v>9.1438868236476158E-3</v>
      </c>
      <c r="DH7" s="267">
        <f>IFERROR(AM7/BD7,0)</f>
        <v>5.4744945019916452E-3</v>
      </c>
      <c r="DI7" s="272">
        <f>AM7/BH7</f>
        <v>62.057410071942442</v>
      </c>
      <c r="DJ7" s="264">
        <f>IFERROR(AN7/BI7,0)</f>
        <v>1.7011230661047941E-2</v>
      </c>
      <c r="DK7" s="270">
        <f>IFERROR(AN7/BC7,0)</f>
        <v>1.1556887879163888E-2</v>
      </c>
      <c r="DL7" s="270">
        <f>IFERROR(AN7/BD7,0)</f>
        <v>1.0184715813101975E-2</v>
      </c>
      <c r="DM7" s="265">
        <f>AN7/BH7</f>
        <v>115.45122302158273</v>
      </c>
      <c r="DN7" s="269">
        <f>IFERROR(AQ7/BI7,0)</f>
        <v>1.5195423949991875E-2</v>
      </c>
      <c r="DO7" s="267">
        <f>IFERROR(AQ7/BD7,0)</f>
        <v>9.0975825132181814E-3</v>
      </c>
      <c r="DP7" s="268">
        <f>AQ7/BH7</f>
        <v>103.12776978417266</v>
      </c>
      <c r="DQ7" s="264">
        <f>IFERROR(AV7/BI7,0)</f>
        <v>8.0664448553443499E-2</v>
      </c>
      <c r="DR7" s="270">
        <f>IFERROR(AV7/BD7,0)</f>
        <v>4.8294241675210882E-2</v>
      </c>
      <c r="DS7" s="265">
        <f>AV7/BH7</f>
        <v>547.45064748201435</v>
      </c>
      <c r="DT7" s="269">
        <f>IFERROR(AT7/BD7,0)</f>
        <v>1.6411031635911583E-2</v>
      </c>
      <c r="DU7" s="268">
        <f>AT7/BH7</f>
        <v>186.03107913669064</v>
      </c>
      <c r="DV7" s="264">
        <f t="shared" si="2"/>
        <v>3.1770927427086843E-3</v>
      </c>
      <c r="DW7" s="265">
        <f t="shared" si="3"/>
        <v>36.014676258992807</v>
      </c>
      <c r="DX7" s="264">
        <f>IFERROR(EB7/BI7,0)</f>
        <v>0</v>
      </c>
      <c r="DY7" s="270">
        <f>IFERROR(EB7/BC7,0)</f>
        <v>0</v>
      </c>
      <c r="DZ7" s="270">
        <f>IFERROR(EB7/BD7,0)</f>
        <v>0</v>
      </c>
      <c r="EA7" s="265">
        <f>EB7/BH7</f>
        <v>0</v>
      </c>
      <c r="EB7" s="273">
        <f>IFERROR(VLOOKUP(A7,'BARNET SCHS PUPIL PREMIUM Nos'!$E$31:$V$117,17,0),0)</f>
        <v>0</v>
      </c>
      <c r="EC7" s="258">
        <f>IFERROR(VLOOKUP(A7,CFR20212022_BenchMarkDataReport!$B$4:$CL$90,36,0),0)</f>
        <v>899.34</v>
      </c>
      <c r="ED7" s="258">
        <f>IFERROR(VLOOKUP(A7,CFR20212022_BenchMarkDataReport!$B$4:$CL$90,37,0),0)</f>
        <v>0</v>
      </c>
      <c r="EE7" s="258">
        <f>IFERROR(VLOOKUP(A7,CFR20212022_BenchMarkDataReport!$B$4:$CL$90,38,0),0)</f>
        <v>0</v>
      </c>
      <c r="EF7" s="258">
        <f>IFERROR(VLOOKUP(A7,CFR20212022_BenchMarkDataReport!$B$4:$CL$90,39,0),0)</f>
        <v>0</v>
      </c>
      <c r="EG7" s="227"/>
    </row>
    <row r="8" spans="1:230" s="20" customFormat="1" ht="16.5" thickBot="1">
      <c r="A8" s="276">
        <v>1999</v>
      </c>
      <c r="B8" s="277"/>
      <c r="C8" s="278" t="s">
        <v>182</v>
      </c>
      <c r="D8" s="279">
        <f t="shared" ref="D8:AI8" si="5">AVERAGE(D4:D7)</f>
        <v>390810.22249999997</v>
      </c>
      <c r="E8" s="279">
        <f t="shared" si="5"/>
        <v>0</v>
      </c>
      <c r="F8" s="279">
        <f t="shared" si="5"/>
        <v>19701.43</v>
      </c>
      <c r="G8" s="279">
        <f t="shared" si="5"/>
        <v>0</v>
      </c>
      <c r="H8" s="279">
        <f t="shared" si="5"/>
        <v>0</v>
      </c>
      <c r="I8" s="279">
        <f t="shared" si="5"/>
        <v>34011</v>
      </c>
      <c r="J8" s="279">
        <f t="shared" si="5"/>
        <v>24021.285</v>
      </c>
      <c r="K8" s="279">
        <f t="shared" si="5"/>
        <v>5310</v>
      </c>
      <c r="L8" s="279">
        <f t="shared" si="5"/>
        <v>223210.8425</v>
      </c>
      <c r="M8" s="279">
        <f t="shared" si="5"/>
        <v>6476.8374999999996</v>
      </c>
      <c r="N8" s="279">
        <f t="shared" si="5"/>
        <v>0</v>
      </c>
      <c r="O8" s="279">
        <f t="shared" si="5"/>
        <v>0</v>
      </c>
      <c r="P8" s="279">
        <f t="shared" si="5"/>
        <v>156.80000000000001</v>
      </c>
      <c r="Q8" s="279">
        <f t="shared" si="5"/>
        <v>7571.8249999999998</v>
      </c>
      <c r="R8" s="279">
        <f t="shared" si="5"/>
        <v>0</v>
      </c>
      <c r="S8" s="279">
        <f t="shared" si="5"/>
        <v>37323.502500000002</v>
      </c>
      <c r="T8" s="279">
        <f t="shared" si="5"/>
        <v>259.23500000000001</v>
      </c>
      <c r="U8" s="279">
        <f t="shared" si="5"/>
        <v>224.83500000000001</v>
      </c>
      <c r="V8" s="279">
        <f t="shared" si="5"/>
        <v>164801.745</v>
      </c>
      <c r="W8" s="279">
        <f t="shared" si="5"/>
        <v>0</v>
      </c>
      <c r="X8" s="279">
        <f t="shared" si="5"/>
        <v>391837.72000000003</v>
      </c>
      <c r="Y8" s="279">
        <f t="shared" si="5"/>
        <v>21463.162499999999</v>
      </c>
      <c r="Z8" s="279">
        <f t="shared" si="5"/>
        <v>38804.302499999998</v>
      </c>
      <c r="AA8" s="279">
        <f t="shared" si="5"/>
        <v>0</v>
      </c>
      <c r="AB8" s="279">
        <f t="shared" si="5"/>
        <v>30441.697500000002</v>
      </c>
      <c r="AC8" s="279">
        <f t="shared" si="5"/>
        <v>5642.0025000000005</v>
      </c>
      <c r="AD8" s="279">
        <f t="shared" si="5"/>
        <v>1763.2475000000002</v>
      </c>
      <c r="AE8" s="279">
        <f t="shared" si="5"/>
        <v>0</v>
      </c>
      <c r="AF8" s="279">
        <f t="shared" si="5"/>
        <v>0</v>
      </c>
      <c r="AG8" s="279">
        <f t="shared" si="5"/>
        <v>4546.335</v>
      </c>
      <c r="AH8" s="279">
        <f t="shared" si="5"/>
        <v>1531.0725</v>
      </c>
      <c r="AI8" s="279">
        <f t="shared" si="5"/>
        <v>2233.9274999999998</v>
      </c>
      <c r="AJ8" s="279">
        <f t="shared" ref="AJ8:BI8" si="6">AVERAGE(AJ4:AJ7)</f>
        <v>989.39</v>
      </c>
      <c r="AK8" s="279">
        <f t="shared" si="6"/>
        <v>6631.7124999999996</v>
      </c>
      <c r="AL8" s="279">
        <f t="shared" si="6"/>
        <v>2112.6675</v>
      </c>
      <c r="AM8" s="279">
        <f t="shared" si="6"/>
        <v>4939.5574999999999</v>
      </c>
      <c r="AN8" s="279">
        <f t="shared" si="6"/>
        <v>11640.022500000001</v>
      </c>
      <c r="AO8" s="279">
        <f t="shared" si="6"/>
        <v>5144.54</v>
      </c>
      <c r="AP8" s="279">
        <f t="shared" si="6"/>
        <v>0</v>
      </c>
      <c r="AQ8" s="279">
        <f t="shared" si="6"/>
        <v>8800.3775000000005</v>
      </c>
      <c r="AR8" s="279">
        <f t="shared" si="6"/>
        <v>2284.75</v>
      </c>
      <c r="AS8" s="279">
        <f t="shared" si="6"/>
        <v>923.1099999999999</v>
      </c>
      <c r="AT8" s="279">
        <f t="shared" si="6"/>
        <v>6385.415</v>
      </c>
      <c r="AU8" s="279">
        <f t="shared" si="6"/>
        <v>5714.7075000000004</v>
      </c>
      <c r="AV8" s="279">
        <f t="shared" si="6"/>
        <v>13737.705</v>
      </c>
      <c r="AW8" s="279">
        <f t="shared" si="6"/>
        <v>12959.625</v>
      </c>
      <c r="AX8" s="279">
        <f t="shared" si="6"/>
        <v>0</v>
      </c>
      <c r="AY8" s="279">
        <f t="shared" si="6"/>
        <v>0</v>
      </c>
      <c r="AZ8" s="279">
        <f t="shared" si="6"/>
        <v>0</v>
      </c>
      <c r="BA8" s="279">
        <f t="shared" si="6"/>
        <v>43294.055</v>
      </c>
      <c r="BB8" s="279">
        <f t="shared" si="6"/>
        <v>7303.1274999999996</v>
      </c>
      <c r="BC8" s="279">
        <f t="shared" si="6"/>
        <v>711495.07750000013</v>
      </c>
      <c r="BD8" s="279">
        <f t="shared" si="6"/>
        <v>745328.79249999998</v>
      </c>
      <c r="BE8" s="279">
        <f t="shared" si="6"/>
        <v>-33833.714999999822</v>
      </c>
      <c r="BF8" s="279">
        <f t="shared" si="6"/>
        <v>-12206.4725</v>
      </c>
      <c r="BG8" s="279">
        <f t="shared" si="6"/>
        <v>-46040.187499999818</v>
      </c>
      <c r="BH8" s="279">
        <f t="shared" si="6"/>
        <v>61.375</v>
      </c>
      <c r="BI8" s="279">
        <f t="shared" si="6"/>
        <v>410511.65249999997</v>
      </c>
      <c r="BJ8" s="280" t="s">
        <v>181</v>
      </c>
      <c r="BK8" s="281">
        <f t="shared" ref="BK8:CP8" si="7">AVERAGE(BK4:BK7)</f>
        <v>0.28877637977834869</v>
      </c>
      <c r="BL8" s="282">
        <f t="shared" si="7"/>
        <v>3176.7716395519947</v>
      </c>
      <c r="BM8" s="283">
        <f t="shared" si="7"/>
        <v>0</v>
      </c>
      <c r="BN8" s="284">
        <f t="shared" si="7"/>
        <v>0</v>
      </c>
      <c r="BO8" s="281">
        <f t="shared" si="7"/>
        <v>1.7048020462857798E-2</v>
      </c>
      <c r="BP8" s="282">
        <f t="shared" si="7"/>
        <v>182.37192721958797</v>
      </c>
      <c r="BQ8" s="283">
        <f t="shared" si="7"/>
        <v>0</v>
      </c>
      <c r="BR8" s="284">
        <f t="shared" si="7"/>
        <v>0</v>
      </c>
      <c r="BS8" s="281">
        <f t="shared" si="7"/>
        <v>0</v>
      </c>
      <c r="BT8" s="282">
        <f t="shared" si="7"/>
        <v>0</v>
      </c>
      <c r="BU8" s="283">
        <f t="shared" si="7"/>
        <v>1.5806660730055891E-2</v>
      </c>
      <c r="BV8" s="284">
        <f t="shared" si="7"/>
        <v>193.24431818181819</v>
      </c>
      <c r="BW8" s="281">
        <f t="shared" si="7"/>
        <v>1.7899604400085964E-2</v>
      </c>
      <c r="BX8" s="282">
        <f t="shared" si="7"/>
        <v>196.59886976782212</v>
      </c>
      <c r="BY8" s="283">
        <f t="shared" si="7"/>
        <v>0.14598177041860363</v>
      </c>
      <c r="BZ8" s="285">
        <f t="shared" si="7"/>
        <v>1653.4084724493132</v>
      </c>
      <c r="CA8" s="286">
        <f t="shared" si="7"/>
        <v>2.2584143036554697E-4</v>
      </c>
      <c r="CB8" s="287">
        <f t="shared" si="7"/>
        <v>2.2561151079136694</v>
      </c>
      <c r="CC8" s="283">
        <f t="shared" si="7"/>
        <v>7.7744648639470598E-3</v>
      </c>
      <c r="CD8" s="288">
        <f t="shared" si="7"/>
        <v>81.000580240353173</v>
      </c>
      <c r="CE8" s="289">
        <f t="shared" si="7"/>
        <v>0.22713829455187573</v>
      </c>
      <c r="CF8" s="286">
        <f t="shared" si="7"/>
        <v>0.14202449128635364</v>
      </c>
      <c r="CG8" s="286">
        <f t="shared" si="7"/>
        <v>0.13007991068790653</v>
      </c>
      <c r="CH8" s="287">
        <f t="shared" si="7"/>
        <v>1529.1105776855788</v>
      </c>
      <c r="CI8" s="283">
        <f t="shared" si="7"/>
        <v>0.41486474615664337</v>
      </c>
      <c r="CJ8" s="290">
        <f t="shared" si="7"/>
        <v>0.24382185730408662</v>
      </c>
      <c r="CK8" s="290">
        <f t="shared" si="7"/>
        <v>0.23009395475613215</v>
      </c>
      <c r="CL8" s="291">
        <f t="shared" si="7"/>
        <v>2777.1396102436233</v>
      </c>
      <c r="CM8" s="289">
        <f t="shared" si="7"/>
        <v>2.9416703592773322E-2</v>
      </c>
      <c r="CN8" s="286">
        <f t="shared" si="7"/>
        <v>1.8513877195849085E-2</v>
      </c>
      <c r="CO8" s="286">
        <f t="shared" si="7"/>
        <v>1.6904507231340071E-2</v>
      </c>
      <c r="CP8" s="287">
        <f t="shared" si="7"/>
        <v>198.15688409499674</v>
      </c>
      <c r="CQ8" s="283">
        <f t="shared" ref="CQ8:EA8" si="8">AVERAGE(CQ4:CQ7)</f>
        <v>5.517220557494365E-2</v>
      </c>
      <c r="CR8" s="290">
        <f t="shared" si="8"/>
        <v>3.5004736294718286E-2</v>
      </c>
      <c r="CS8" s="290">
        <f t="shared" si="8"/>
        <v>3.184033331751765E-2</v>
      </c>
      <c r="CT8" s="288">
        <f t="shared" si="8"/>
        <v>371.93553905739043</v>
      </c>
      <c r="CU8" s="289">
        <f t="shared" si="8"/>
        <v>0.75645203653193405</v>
      </c>
      <c r="CV8" s="286">
        <f t="shared" si="8"/>
        <v>0.45758791483544925</v>
      </c>
      <c r="CW8" s="286">
        <f t="shared" si="8"/>
        <v>0.42580387459690355</v>
      </c>
      <c r="CX8" s="287">
        <f t="shared" si="8"/>
        <v>5076.9098551953903</v>
      </c>
      <c r="CY8" s="283">
        <f t="shared" si="8"/>
        <v>4.4646745742056102E-3</v>
      </c>
      <c r="CZ8" s="290">
        <f t="shared" si="8"/>
        <v>2.44549853456649E-3</v>
      </c>
      <c r="DA8" s="288">
        <f t="shared" si="8"/>
        <v>29.822325662197514</v>
      </c>
      <c r="DB8" s="289">
        <f t="shared" si="8"/>
        <v>7.3242089790038145E-4</v>
      </c>
      <c r="DC8" s="287">
        <f t="shared" si="8"/>
        <v>8.6332151324395028</v>
      </c>
      <c r="DD8" s="283">
        <f t="shared" si="8"/>
        <v>7.8467972167520026E-3</v>
      </c>
      <c r="DE8" s="290">
        <f t="shared" si="8"/>
        <v>4.4247009993435681E-3</v>
      </c>
      <c r="DF8" s="288">
        <f t="shared" si="8"/>
        <v>52.679928670699809</v>
      </c>
      <c r="DG8" s="289">
        <f t="shared" si="8"/>
        <v>5.5852033269140275E-3</v>
      </c>
      <c r="DH8" s="286">
        <f t="shared" si="8"/>
        <v>3.1289802311627772E-3</v>
      </c>
      <c r="DI8" s="287">
        <f t="shared" si="8"/>
        <v>37.453613881621976</v>
      </c>
      <c r="DJ8" s="283">
        <f t="shared" si="8"/>
        <v>1.2484466646942468E-2</v>
      </c>
      <c r="DK8" s="290">
        <f t="shared" si="8"/>
        <v>7.3666639255214831E-3</v>
      </c>
      <c r="DL8" s="290">
        <f t="shared" si="8"/>
        <v>6.9383092819670904E-3</v>
      </c>
      <c r="DM8" s="288">
        <f t="shared" si="8"/>
        <v>83.601768823577515</v>
      </c>
      <c r="DN8" s="289">
        <f>AVERAGE(DN4:DN7)</f>
        <v>9.7871791319285011E-3</v>
      </c>
      <c r="DO8" s="286">
        <f>AVERAGE(DO4:DO7)</f>
        <v>5.4695590527361242E-3</v>
      </c>
      <c r="DP8" s="287">
        <f>AVERAGE(DP4:DP7)</f>
        <v>65.6031498324068</v>
      </c>
      <c r="DQ8" s="283">
        <f t="shared" si="8"/>
        <v>2.3776733410014725E-2</v>
      </c>
      <c r="DR8" s="290">
        <f t="shared" si="8"/>
        <v>1.4000063840281003E-2</v>
      </c>
      <c r="DS8" s="288">
        <f t="shared" si="8"/>
        <v>160.87260505232177</v>
      </c>
      <c r="DT8" s="289">
        <f t="shared" si="8"/>
        <v>5.5402556551409935E-3</v>
      </c>
      <c r="DU8" s="287">
        <f t="shared" si="8"/>
        <v>64.423252738718105</v>
      </c>
      <c r="DV8" s="283">
        <f t="shared" ref="DV8:DW8" si="9">AVERAGE(DV4:DV7)</f>
        <v>1.5274329380471135E-3</v>
      </c>
      <c r="DW8" s="288">
        <f t="shared" si="9"/>
        <v>18.141012814748201</v>
      </c>
      <c r="DX8" s="283">
        <f t="shared" si="8"/>
        <v>0</v>
      </c>
      <c r="DY8" s="290">
        <f t="shared" si="8"/>
        <v>0</v>
      </c>
      <c r="DZ8" s="290">
        <f t="shared" si="8"/>
        <v>0</v>
      </c>
      <c r="EA8" s="284">
        <f t="shared" si="8"/>
        <v>0</v>
      </c>
      <c r="EB8" s="292">
        <f>AVERAGE(EB4:EB7)</f>
        <v>0</v>
      </c>
      <c r="EC8" s="279">
        <f>AVERAGE(EC4:EC7)</f>
        <v>224.83500000000001</v>
      </c>
      <c r="ED8" s="279">
        <f>AVERAGE(ED4:ED7)</f>
        <v>0</v>
      </c>
      <c r="EE8" s="279">
        <f>AVERAGE(EE4:EE7)</f>
        <v>0</v>
      </c>
      <c r="EF8" s="279">
        <f>AVERAGE(EF4:EF7)</f>
        <v>0</v>
      </c>
      <c r="EG8" s="153"/>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row>
    <row r="9" spans="1:230" s="5" customFormat="1" ht="15.75" thickTop="1">
      <c r="A9" s="293">
        <v>3520</v>
      </c>
      <c r="B9" s="294">
        <v>11094</v>
      </c>
      <c r="C9" s="295" t="s">
        <v>31</v>
      </c>
      <c r="D9" s="258">
        <f>IFERROR(VLOOKUP(A9,CFR20212022_BenchMarkDataReport!$B$4:$CL$90,19,0),0)</f>
        <v>1767768</v>
      </c>
      <c r="E9" s="258">
        <f>IFERROR(VLOOKUP(A9,CFR20212022_BenchMarkDataReport!$B$4:$CL$90,20,0),0)</f>
        <v>0</v>
      </c>
      <c r="F9" s="258">
        <f>IFERROR(VLOOKUP(A9,CFR20212022_BenchMarkDataReport!$B$4:$CL$90,21,0),0)</f>
        <v>103625</v>
      </c>
      <c r="G9" s="258">
        <f>IFERROR(VLOOKUP(A9,CFR20212022_BenchMarkDataReport!$B$4:$CL$90,22,0),0)</f>
        <v>0</v>
      </c>
      <c r="H9" s="258">
        <f>IFERROR(VLOOKUP(A9,CFR20212022_BenchMarkDataReport!$B$4:$CL$90,23,0),0)</f>
        <v>1410</v>
      </c>
      <c r="I9" s="258">
        <f>IFERROR(VLOOKUP(A9,CFR20212022_BenchMarkDataReport!$B$4:$CL$90,24,0),0)</f>
        <v>53782</v>
      </c>
      <c r="J9" s="258">
        <f>IFERROR(VLOOKUP(A9,CFR20212022_BenchMarkDataReport!$B$4:$CL$90,25,0),0)</f>
        <v>0</v>
      </c>
      <c r="K9" s="258">
        <f>IFERROR(VLOOKUP(A9,CFR20212022_BenchMarkDataReport!$B$4:$CL$90,26,0),0)</f>
        <v>29056</v>
      </c>
      <c r="L9" s="258">
        <f>IFERROR(VLOOKUP(A9,CFR20212022_BenchMarkDataReport!$B$4:$CL$90,27,0),0)</f>
        <v>6021</v>
      </c>
      <c r="M9" s="258">
        <f>IFERROR(VLOOKUP(A9,CFR20212022_BenchMarkDataReport!$B$4:$CL$90,28,0),0)</f>
        <v>84935</v>
      </c>
      <c r="N9" s="258">
        <f>IFERROR(VLOOKUP(A9,CFR20212022_BenchMarkDataReport!$B$4:$CL$90,29,0),0)</f>
        <v>4900</v>
      </c>
      <c r="O9" s="258">
        <f>IFERROR(VLOOKUP(A9,CFR20212022_BenchMarkDataReport!$B$4:$CL$90,30,0),0)</f>
        <v>0</v>
      </c>
      <c r="P9" s="258">
        <f>IFERROR(VLOOKUP(A9,CFR20212022_BenchMarkDataReport!$B$4:$CL$90,31,0),0)</f>
        <v>94840</v>
      </c>
      <c r="Q9" s="258">
        <f>IFERROR(VLOOKUP(A9,CFR20212022_BenchMarkDataReport!$B$4:$CL$90,32,0),0)</f>
        <v>452166</v>
      </c>
      <c r="R9" s="258">
        <f>IFERROR(VLOOKUP(A9,CFR20212022_BenchMarkDataReport!$B$4:$CL$90,33,0),0)</f>
        <v>0</v>
      </c>
      <c r="S9" s="258">
        <f>IFERROR(VLOOKUP(A9,CFR20212022_BenchMarkDataReport!$B$4:$CL$90,34,0),0)</f>
        <v>0</v>
      </c>
      <c r="T9" s="258">
        <f>IFERROR(VLOOKUP(A9,CFR20212022_BenchMarkDataReport!$B$4:$CL$90,35,0),0)</f>
        <v>0</v>
      </c>
      <c r="U9" s="258">
        <f t="shared" si="0"/>
        <v>114424</v>
      </c>
      <c r="V9" s="258">
        <f>IFERROR(VLOOKUP(A9,CFR20212022_BenchMarkDataReport!$B$4:$CL$90,40,0),0)</f>
        <v>1166438</v>
      </c>
      <c r="W9" s="258">
        <f>IFERROR(VLOOKUP(A9,CFR20212022_BenchMarkDataReport!$B$4:$CL$90,41,0),0)</f>
        <v>1400</v>
      </c>
      <c r="X9" s="258">
        <f>IFERROR(VLOOKUP(A9,CFR20212022_BenchMarkDataReport!$B$4:$CL$90,42,0),0)</f>
        <v>442342</v>
      </c>
      <c r="Y9" s="258">
        <f>IFERROR(VLOOKUP(A9,CFR20212022_BenchMarkDataReport!$B$4:$CL$90,43,0),0)</f>
        <v>45481</v>
      </c>
      <c r="Z9" s="258">
        <f>IFERROR(VLOOKUP(A9,CFR20212022_BenchMarkDataReport!$B$4:$CL$90,44,0),0)</f>
        <v>153432</v>
      </c>
      <c r="AA9" s="258">
        <f>IFERROR(VLOOKUP(A9,CFR20212022_BenchMarkDataReport!$B$4:$CL$90,45,0),0)</f>
        <v>0</v>
      </c>
      <c r="AB9" s="258">
        <f>IFERROR(VLOOKUP(A9,CFR20212022_BenchMarkDataReport!$B$4:$CL$90,46,0),0)</f>
        <v>23767</v>
      </c>
      <c r="AC9" s="258">
        <f>IFERROR(VLOOKUP(A9,CFR20212022_BenchMarkDataReport!$B$4:$CL$90,47,0),0)</f>
        <v>1060</v>
      </c>
      <c r="AD9" s="258">
        <f>IFERROR(VLOOKUP(A9,CFR20212022_BenchMarkDataReport!$B$4:$CL$90,48,0),0)</f>
        <v>1374</v>
      </c>
      <c r="AE9" s="258">
        <f>IFERROR(VLOOKUP(A9,CFR20212022_BenchMarkDataReport!$B$4:$CL$90,49,0),0)</f>
        <v>12283</v>
      </c>
      <c r="AF9" s="258">
        <f>IFERROR(VLOOKUP(A9,CFR20212022_BenchMarkDataReport!$B$4:$CL$90,50,0),0)</f>
        <v>0</v>
      </c>
      <c r="AG9" s="258">
        <f>IFERROR(VLOOKUP(A9,CFR20212022_BenchMarkDataReport!$B$4:$CL$90,51,0),0)</f>
        <v>50726</v>
      </c>
      <c r="AH9" s="258">
        <f>IFERROR(VLOOKUP(A9,CFR20212022_BenchMarkDataReport!$B$4:$CL$90,52,0),0)</f>
        <v>1185</v>
      </c>
      <c r="AI9" s="258">
        <f>IFERROR(VLOOKUP(A9,CFR20212022_BenchMarkDataReport!$B$4:$CL$90,53,0),0)</f>
        <v>43163</v>
      </c>
      <c r="AJ9" s="258">
        <f>IFERROR(VLOOKUP(A9,CFR20212022_BenchMarkDataReport!$B$4:$CL$90,54,0),0)</f>
        <v>15922</v>
      </c>
      <c r="AK9" s="258">
        <f>IFERROR(VLOOKUP(A9,CFR20212022_BenchMarkDataReport!$B$4:$CL$90,55,0),0)</f>
        <v>21139</v>
      </c>
      <c r="AL9" s="258">
        <f>IFERROR(VLOOKUP(A9,CFR20212022_BenchMarkDataReport!$B$4:$CL$90,56,0),0)</f>
        <v>12449</v>
      </c>
      <c r="AM9" s="258">
        <f>IFERROR(VLOOKUP(A9,CFR20212022_BenchMarkDataReport!$B$4:$CL$90,57,0),0)</f>
        <v>86022</v>
      </c>
      <c r="AN9" s="258">
        <f>IFERROR(VLOOKUP(A9,CFR20212022_BenchMarkDataReport!$B$4:$CL$90,58,0),0)</f>
        <v>186432</v>
      </c>
      <c r="AO9" s="258">
        <f>IFERROR(VLOOKUP(A9,CFR20212022_BenchMarkDataReport!$B$4:$CL$90,59,0),0)</f>
        <v>23719</v>
      </c>
      <c r="AP9" s="258">
        <f>IFERROR(VLOOKUP(A9,CFR20212022_BenchMarkDataReport!$B$4:$CL$90,60,0),0)</f>
        <v>0</v>
      </c>
      <c r="AQ9" s="258">
        <f>IFERROR(VLOOKUP(A9,CFR20212022_BenchMarkDataReport!$B$4:$CL$90,61,0),0)</f>
        <v>11308</v>
      </c>
      <c r="AR9" s="258">
        <f>IFERROR(VLOOKUP(A9,CFR20212022_BenchMarkDataReport!$B$4:$CL$90,62,0),0)</f>
        <v>39634</v>
      </c>
      <c r="AS9" s="258">
        <f>IFERROR(VLOOKUP(A9,CFR20212022_BenchMarkDataReport!$B$4:$CL$90,63,0),0)</f>
        <v>3715</v>
      </c>
      <c r="AT9" s="258">
        <f>IFERROR(VLOOKUP(A9,CFR20212022_BenchMarkDataReport!$B$4:$CL$90,64,0),0)</f>
        <v>175836</v>
      </c>
      <c r="AU9" s="258">
        <f>IFERROR(VLOOKUP(A9,CFR20212022_BenchMarkDataReport!$B$4:$CL$90,65,0),0)</f>
        <v>100457</v>
      </c>
      <c r="AV9" s="258">
        <f>IFERROR(VLOOKUP(A9,CFR20212022_BenchMarkDataReport!$B$4:$CL$90,66,0),0)</f>
        <v>46444</v>
      </c>
      <c r="AW9" s="258">
        <f>IFERROR(VLOOKUP(A9,CFR20212022_BenchMarkDataReport!$B$4:$CL$90,67,0),0)</f>
        <v>37299</v>
      </c>
      <c r="AX9" s="258">
        <f>IFERROR(VLOOKUP(A9,CFR20212022_BenchMarkDataReport!$B$4:$CL$90,68,0),0)</f>
        <v>0</v>
      </c>
      <c r="AY9" s="258">
        <f>IFERROR(VLOOKUP(A9,CFR20212022_BenchMarkDataReport!$B$4:$CL$90,69,0),0)</f>
        <v>0</v>
      </c>
      <c r="AZ9" s="258">
        <f>IFERROR(VLOOKUP(A9,CFR20212022_BenchMarkDataReport!$B$4:$CL$90,70,0),0)</f>
        <v>0</v>
      </c>
      <c r="BA9" s="258">
        <f>IFERROR(VLOOKUP(A9,CFR20212022_BenchMarkDataReport!$B$4:$CL$90,71,0),0)</f>
        <v>0</v>
      </c>
      <c r="BB9" s="258">
        <f>IFERROR(VLOOKUP(A9,CFR20212022_BenchMarkDataReport!$B$4:$CL$90,72,0),0)</f>
        <v>0</v>
      </c>
      <c r="BC9" s="259">
        <f t="shared" ref="BC9:BC40" si="10">SUM(D9:R9)+U9</f>
        <v>2712927</v>
      </c>
      <c r="BD9" s="260">
        <f t="shared" ref="BD9:BD38" si="11">SUM(V9:AZ9)</f>
        <v>2703027</v>
      </c>
      <c r="BE9" s="296">
        <f t="shared" ref="BE9:BE38" si="12">BC9-BD9</f>
        <v>9900</v>
      </c>
      <c r="BF9" s="258">
        <f>IFERROR(VLOOKUP(A9,CFR20212022_BenchMarkDataReport!$B$4:$CL$90,16,0),0)</f>
        <v>138410.47</v>
      </c>
      <c r="BG9" s="296">
        <f t="shared" ref="BG9:BG38" si="13">SUM(BE9:BF9)</f>
        <v>148310.47</v>
      </c>
      <c r="BH9" s="261">
        <f>IFERROR(VLOOKUP(A9,'Pupil Nos BenchmarkData 21-22'!$A$6:$E$94,5,0),0)</f>
        <v>421</v>
      </c>
      <c r="BI9" s="260">
        <f t="shared" si="1"/>
        <v>1871393</v>
      </c>
      <c r="BJ9" s="227" t="s">
        <v>183</v>
      </c>
      <c r="BK9" s="262">
        <f t="shared" ref="BK9:BK40" si="14">IFERROR(D9/BC9,0)</f>
        <v>0.65160912918040181</v>
      </c>
      <c r="BL9" s="263">
        <f t="shared" ref="BL9:BL40" si="15">D9/BH9</f>
        <v>4198.9738717339669</v>
      </c>
      <c r="BM9" s="264">
        <f t="shared" ref="BM9:BM40" si="16">E9/BC9</f>
        <v>0</v>
      </c>
      <c r="BN9" s="265">
        <f t="shared" ref="BN9:BN40" si="17">E9/BH9</f>
        <v>0</v>
      </c>
      <c r="BO9" s="262">
        <f t="shared" ref="BO9:BO40" si="18">F9/BC9</f>
        <v>3.8196752068890907E-2</v>
      </c>
      <c r="BP9" s="263">
        <f t="shared" ref="BP9:BP40" si="19">F9/BH9</f>
        <v>246.14014251781472</v>
      </c>
      <c r="BQ9" s="264">
        <f t="shared" ref="BQ9:BQ40" si="20">G9/BC9</f>
        <v>0</v>
      </c>
      <c r="BR9" s="265">
        <f t="shared" ref="BR9:BR40" si="21">G9/BH9</f>
        <v>0</v>
      </c>
      <c r="BS9" s="262">
        <f t="shared" ref="BS9:BS40" si="22">H9/BC9</f>
        <v>5.1973385203508981E-4</v>
      </c>
      <c r="BT9" s="263">
        <f t="shared" ref="BT9:BT40" si="23">H9/BH9</f>
        <v>3.3491686460807601</v>
      </c>
      <c r="BU9" s="264">
        <f t="shared" ref="BU9:BU40" si="24">I9/BC9</f>
        <v>1.9824344702234892E-2</v>
      </c>
      <c r="BV9" s="265">
        <f t="shared" ref="BV9:BV40" si="25">I9/BH9</f>
        <v>127.74821852731591</v>
      </c>
      <c r="BW9" s="262">
        <f t="shared" ref="BW9:BW40" si="26">J9/BC9</f>
        <v>0</v>
      </c>
      <c r="BX9" s="263">
        <f t="shared" ref="BX9:BX40" si="27">J9/BH9</f>
        <v>0</v>
      </c>
      <c r="BY9" s="264">
        <f t="shared" ref="BY9:BY40" si="28">IFERROR((K9+L9)/BC9,0)</f>
        <v>1.292957753747152E-2</v>
      </c>
      <c r="BZ9" s="266">
        <f t="shared" ref="BZ9:BZ40" si="29">IFERROR((K9+L9)/BH9,0)</f>
        <v>83.318289786223275</v>
      </c>
      <c r="CA9" s="267">
        <f t="shared" ref="CA9:CA40" si="30">P9/BC9</f>
        <v>3.495855214681412E-2</v>
      </c>
      <c r="CB9" s="268">
        <f t="shared" ref="CB9:CB40" si="31">P9/BH9</f>
        <v>225.2731591448931</v>
      </c>
      <c r="CC9" s="264">
        <f t="shared" ref="CC9:CC40" si="32">Q9/BC9</f>
        <v>0.16667090563070808</v>
      </c>
      <c r="CD9" s="265">
        <f t="shared" ref="CD9:CD40" si="33">Q9/BH9</f>
        <v>1074.0285035629454</v>
      </c>
      <c r="CE9" s="269">
        <f t="shared" ref="CE9:CE40" si="34">(V9+W9+AU9)/BI9</f>
        <v>0.67772776749726005</v>
      </c>
      <c r="CF9" s="267">
        <f t="shared" ref="CF9:CF40" si="35">(V9+W9+AU9)/BC9</f>
        <v>0.46750059990556325</v>
      </c>
      <c r="CG9" s="267">
        <f t="shared" ref="CG9:CG40" si="36">(V9+W9+AU9)/BD9</f>
        <v>0.46921284915023048</v>
      </c>
      <c r="CH9" s="268">
        <f t="shared" ref="CH9:CH40" si="37">(V9+W9+AU9)/BH9</f>
        <v>3012.5771971496438</v>
      </c>
      <c r="CI9" s="264">
        <f t="shared" ref="CI9:CI40" si="38">X9/BI9</f>
        <v>0.23637044704132162</v>
      </c>
      <c r="CJ9" s="270">
        <f t="shared" ref="CJ9:CJ40" si="39">X9/BC9</f>
        <v>0.16304972452262814</v>
      </c>
      <c r="CK9" s="270">
        <f t="shared" ref="CK9:CK40" si="40">X9/BD9</f>
        <v>0.16364690400798809</v>
      </c>
      <c r="CL9" s="271">
        <f t="shared" ref="CL9:CL40" si="41">X9/BH9</f>
        <v>1050.6935866983372</v>
      </c>
      <c r="CM9" s="269">
        <f t="shared" ref="CM9:CM40" si="42">Y9/BI9</f>
        <v>2.4303286375443319E-2</v>
      </c>
      <c r="CN9" s="267">
        <f t="shared" ref="CN9:CN40" si="43">Y9/BC9</f>
        <v>1.6764549875466609E-2</v>
      </c>
      <c r="CO9" s="267">
        <f t="shared" ref="CO9:CO40" si="44">Y9/BD9</f>
        <v>1.6825951054133016E-2</v>
      </c>
      <c r="CP9" s="268">
        <f t="shared" ref="CP9:CP40" si="45">Y9/BH9</f>
        <v>108.03087885985748</v>
      </c>
      <c r="CQ9" s="264">
        <f t="shared" ref="CQ9:CQ40" si="46">Z9/BI9</f>
        <v>8.1988123285702152E-2</v>
      </c>
      <c r="CR9" s="270">
        <f t="shared" ref="CR9:CR40" si="47">Z9/BC9</f>
        <v>5.6555889635069426E-2</v>
      </c>
      <c r="CS9" s="270">
        <f t="shared" ref="CS9:CS40" si="48">Z9/BD9</f>
        <v>5.6763029004149791E-2</v>
      </c>
      <c r="CT9" s="265">
        <f t="shared" ref="CT9:CT40" si="49">Z9/BH9</f>
        <v>364.44655581947745</v>
      </c>
      <c r="CU9" s="269">
        <f t="shared" ref="CU9:CU40" si="50">(V9+W9+X9+Y9+Z9+AA9+AB9)/BI9</f>
        <v>0.97940945595072759</v>
      </c>
      <c r="CV9" s="267">
        <f t="shared" ref="CV9:CV40" si="51">(V9+W9+X9+Y9+Z9+AA9+AB9)/BC9</f>
        <v>0.67560240286598205</v>
      </c>
      <c r="CW9" s="267">
        <f t="shared" ref="CW9:CW40" si="52">(V9+W9+X9+Y9+Z9+AA9+AB9)/BD9</f>
        <v>0.67807683756026116</v>
      </c>
      <c r="CX9" s="268">
        <f t="shared" ref="CX9:CX40" si="53">(V9+W9+X9+Y9+Z9+AA9+AB9)/BH9</f>
        <v>4353.5866983372925</v>
      </c>
      <c r="CY9" s="264">
        <f t="shared" ref="CY9:CY40" si="54">AG9/BI9</f>
        <v>2.7106011404338905E-2</v>
      </c>
      <c r="CZ9" s="270">
        <f t="shared" ref="CZ9:CZ40" si="55">AG9/BD9</f>
        <v>1.8766368223476864E-2</v>
      </c>
      <c r="DA9" s="265">
        <f t="shared" ref="DA9:DA40" si="56">AG9/BH9</f>
        <v>120.48931116389549</v>
      </c>
      <c r="DB9" s="269">
        <f t="shared" ref="DB9:DB40" si="57">AJ9/BD9</f>
        <v>5.890433206919502E-3</v>
      </c>
      <c r="DC9" s="268">
        <f t="shared" ref="DC9:DC40" si="58">AJ9/BH9</f>
        <v>37.819477434679335</v>
      </c>
      <c r="DD9" s="264">
        <f t="shared" ref="DD9:DD40" si="59">AK9/BI9</f>
        <v>1.1295863562597487E-2</v>
      </c>
      <c r="DE9" s="270">
        <f t="shared" ref="DE9:DE40" si="60">AK9/BD9</f>
        <v>7.8204916192106105E-3</v>
      </c>
      <c r="DF9" s="265">
        <f t="shared" ref="DF9:DF40" si="61">AK9/BH9</f>
        <v>50.211401425178146</v>
      </c>
      <c r="DG9" s="269">
        <f t="shared" ref="DG9:DG40" si="62">AM9/BI9</f>
        <v>4.5966827919095558E-2</v>
      </c>
      <c r="DH9" s="267">
        <f t="shared" ref="DH9:DH40" si="63">AM9/BD9</f>
        <v>3.1824321399675254E-2</v>
      </c>
      <c r="DI9" s="272">
        <f t="shared" ref="DI9:DI40" si="64">AM9/BH9</f>
        <v>204.32779097387174</v>
      </c>
      <c r="DJ9" s="264">
        <f t="shared" ref="DJ9:DJ40" si="65">AN9/BI9</f>
        <v>9.9622046251108126E-2</v>
      </c>
      <c r="DK9" s="270">
        <f t="shared" ref="DK9:DK40" si="66">AN9/BC9</f>
        <v>6.8719873406103443E-2</v>
      </c>
      <c r="DL9" s="270">
        <f t="shared" ref="DL9:DL40" si="67">AN9/BD9</f>
        <v>6.8971564102023403E-2</v>
      </c>
      <c r="DM9" s="265">
        <f t="shared" ref="DM9:DM40" si="68">AN9/BH9</f>
        <v>442.83135391923992</v>
      </c>
      <c r="DN9" s="269">
        <f t="shared" ref="DN9:DN40" si="69">AQ9/BI9</f>
        <v>6.0425576028124506E-3</v>
      </c>
      <c r="DO9" s="267">
        <f t="shared" ref="DO9:DO40" si="70">IFERROR(AQ9/BD9,0)</f>
        <v>4.183458026871356E-3</v>
      </c>
      <c r="DP9" s="268">
        <f t="shared" ref="DP9:DP40" si="71">AQ9/BH9</f>
        <v>26.859857482185273</v>
      </c>
      <c r="DQ9" s="264">
        <f t="shared" ref="DQ9:DQ40" si="72">IFERROR(AV9/BI9,0)</f>
        <v>2.4817876309251984E-2</v>
      </c>
      <c r="DR9" s="270">
        <f t="shared" ref="DR9:DR40" si="73">IFERROR(AV9/BD9,0)</f>
        <v>1.7182218305625507E-2</v>
      </c>
      <c r="DS9" s="265">
        <f t="shared" ref="DS9:DS40" si="74">AV9/BH9</f>
        <v>110.31828978622327</v>
      </c>
      <c r="DT9" s="269">
        <f t="shared" ref="DT9:DT40" si="75">AT9/BD9</f>
        <v>6.5051514468778895E-2</v>
      </c>
      <c r="DU9" s="268">
        <f t="shared" ref="DU9:DU40" si="76">AT9/BH9</f>
        <v>417.66270783847983</v>
      </c>
      <c r="DV9" s="264">
        <f t="shared" si="2"/>
        <v>1.5968393952409652E-2</v>
      </c>
      <c r="DW9" s="265">
        <f t="shared" si="3"/>
        <v>102.5249406175772</v>
      </c>
      <c r="DX9" s="264">
        <f t="shared" ref="DX9:DX40" si="77">EB9/BI9</f>
        <v>5.3436130198199953E-7</v>
      </c>
      <c r="DY9" s="270">
        <f t="shared" ref="DY9:DY40" si="78">EB9/BC9</f>
        <v>3.6860556881921261E-7</v>
      </c>
      <c r="DZ9" s="270">
        <f t="shared" ref="DZ9:DZ40" si="79">EB9/BD9</f>
        <v>3.6995560902647292E-7</v>
      </c>
      <c r="EA9" s="265">
        <f t="shared" ref="EA9:EA40" si="80">EB9/BH9</f>
        <v>2.3752969121140144E-3</v>
      </c>
      <c r="EB9" s="273">
        <f>IFERROR(VLOOKUP(A9,'BARNET SCHS PUPIL PREMIUM Nos'!$E$31:$V$117,17,0),0)</f>
        <v>1</v>
      </c>
      <c r="EC9" s="258">
        <f>IFERROR(VLOOKUP(A9,CFR20212022_BenchMarkDataReport!$B$4:$CL$90,36,0),0)</f>
        <v>0</v>
      </c>
      <c r="ED9" s="258">
        <f>IFERROR(VLOOKUP(A9,CFR20212022_BenchMarkDataReport!$B$4:$CL$90,37,0),0)</f>
        <v>0</v>
      </c>
      <c r="EE9" s="258">
        <f>IFERROR(VLOOKUP(A9,CFR20212022_BenchMarkDataReport!$B$4:$CL$90,38,0),0)</f>
        <v>14179</v>
      </c>
      <c r="EF9" s="258">
        <f>IFERROR(VLOOKUP(A9,CFR20212022_BenchMarkDataReport!$B$4:$CL$90,39,0),0)</f>
        <v>100245</v>
      </c>
      <c r="EG9" s="227"/>
    </row>
    <row r="10" spans="1:230" s="5" customFormat="1">
      <c r="A10" s="293">
        <v>3317</v>
      </c>
      <c r="B10" s="294">
        <v>10042</v>
      </c>
      <c r="C10" s="293" t="s">
        <v>32</v>
      </c>
      <c r="D10" s="258">
        <f>IFERROR(VLOOKUP(A10,CFR20212022_BenchMarkDataReport!$B$4:$CL$90,19,0),0)</f>
        <v>1179831.7</v>
      </c>
      <c r="E10" s="258">
        <f>IFERROR(VLOOKUP(A10,CFR20212022_BenchMarkDataReport!$B$4:$CL$90,20,0),0)</f>
        <v>0</v>
      </c>
      <c r="F10" s="258">
        <f>IFERROR(VLOOKUP(A10,CFR20212022_BenchMarkDataReport!$B$4:$CL$90,21,0),0)</f>
        <v>69021.350000000006</v>
      </c>
      <c r="G10" s="258">
        <f>IFERROR(VLOOKUP(A10,CFR20212022_BenchMarkDataReport!$B$4:$CL$90,22,0),0)</f>
        <v>0</v>
      </c>
      <c r="H10" s="258">
        <f>IFERROR(VLOOKUP(A10,CFR20212022_BenchMarkDataReport!$B$4:$CL$90,23,0),0)</f>
        <v>70559.94</v>
      </c>
      <c r="I10" s="258">
        <f>IFERROR(VLOOKUP(A10,CFR20212022_BenchMarkDataReport!$B$4:$CL$90,24,0),0)</f>
        <v>3475</v>
      </c>
      <c r="J10" s="258">
        <f>IFERROR(VLOOKUP(A10,CFR20212022_BenchMarkDataReport!$B$4:$CL$90,25,0),0)</f>
        <v>3950</v>
      </c>
      <c r="K10" s="258">
        <f>IFERROR(VLOOKUP(A10,CFR20212022_BenchMarkDataReport!$B$4:$CL$90,26,0),0)</f>
        <v>2347.5</v>
      </c>
      <c r="L10" s="258">
        <f>IFERROR(VLOOKUP(A10,CFR20212022_BenchMarkDataReport!$B$4:$CL$90,27,0),0)</f>
        <v>34744.980000000003</v>
      </c>
      <c r="M10" s="258">
        <f>IFERROR(VLOOKUP(A10,CFR20212022_BenchMarkDataReport!$B$4:$CL$90,28,0),0)</f>
        <v>35613.599999999999</v>
      </c>
      <c r="N10" s="258">
        <f>IFERROR(VLOOKUP(A10,CFR20212022_BenchMarkDataReport!$B$4:$CL$90,29,0),0)</f>
        <v>7896</v>
      </c>
      <c r="O10" s="258">
        <f>IFERROR(VLOOKUP(A10,CFR20212022_BenchMarkDataReport!$B$4:$CL$90,30,0),0)</f>
        <v>2760</v>
      </c>
      <c r="P10" s="258">
        <f>IFERROR(VLOOKUP(A10,CFR20212022_BenchMarkDataReport!$B$4:$CL$90,31,0),0)</f>
        <v>4091</v>
      </c>
      <c r="Q10" s="258">
        <f>IFERROR(VLOOKUP(A10,CFR20212022_BenchMarkDataReport!$B$4:$CL$90,32,0),0)</f>
        <v>30177.07</v>
      </c>
      <c r="R10" s="258">
        <f>IFERROR(VLOOKUP(A10,CFR20212022_BenchMarkDataReport!$B$4:$CL$90,33,0),0)</f>
        <v>0</v>
      </c>
      <c r="S10" s="258">
        <f>IFERROR(VLOOKUP(A10,CFR20212022_BenchMarkDataReport!$B$4:$CL$90,34,0),0)</f>
        <v>0</v>
      </c>
      <c r="T10" s="258">
        <f>IFERROR(VLOOKUP(A10,CFR20212022_BenchMarkDataReport!$B$4:$CL$90,35,0),0)</f>
        <v>0</v>
      </c>
      <c r="U10" s="258">
        <f t="shared" si="0"/>
        <v>55351.8</v>
      </c>
      <c r="V10" s="258">
        <f>IFERROR(VLOOKUP(A10,CFR20212022_BenchMarkDataReport!$B$4:$CL$90,40,0),0)</f>
        <v>622264.31999999995</v>
      </c>
      <c r="W10" s="258">
        <f>IFERROR(VLOOKUP(A10,CFR20212022_BenchMarkDataReport!$B$4:$CL$90,41,0),0)</f>
        <v>57875.35</v>
      </c>
      <c r="X10" s="258">
        <f>IFERROR(VLOOKUP(A10,CFR20212022_BenchMarkDataReport!$B$4:$CL$90,42,0),0)</f>
        <v>365804.38</v>
      </c>
      <c r="Y10" s="258">
        <f>IFERROR(VLOOKUP(A10,CFR20212022_BenchMarkDataReport!$B$4:$CL$90,43,0),0)</f>
        <v>28052.21</v>
      </c>
      <c r="Z10" s="258">
        <f>IFERROR(VLOOKUP(A10,CFR20212022_BenchMarkDataReport!$B$4:$CL$90,44,0),0)</f>
        <v>57814.31</v>
      </c>
      <c r="AA10" s="258">
        <f>IFERROR(VLOOKUP(A10,CFR20212022_BenchMarkDataReport!$B$4:$CL$90,45,0),0)</f>
        <v>0</v>
      </c>
      <c r="AB10" s="258">
        <f>IFERROR(VLOOKUP(A10,CFR20212022_BenchMarkDataReport!$B$4:$CL$90,46,0),0)</f>
        <v>39941.89</v>
      </c>
      <c r="AC10" s="258">
        <f>IFERROR(VLOOKUP(A10,CFR20212022_BenchMarkDataReport!$B$4:$CL$90,47,0),0)</f>
        <v>13304.11</v>
      </c>
      <c r="AD10" s="258">
        <f>IFERROR(VLOOKUP(A10,CFR20212022_BenchMarkDataReport!$B$4:$CL$90,48,0),0)</f>
        <v>3613.55</v>
      </c>
      <c r="AE10" s="258">
        <f>IFERROR(VLOOKUP(A10,CFR20212022_BenchMarkDataReport!$B$4:$CL$90,49,0),0)</f>
        <v>6704.74</v>
      </c>
      <c r="AF10" s="258">
        <f>IFERROR(VLOOKUP(A10,CFR20212022_BenchMarkDataReport!$B$4:$CL$90,50,0),0)</f>
        <v>0</v>
      </c>
      <c r="AG10" s="258">
        <f>IFERROR(VLOOKUP(A10,CFR20212022_BenchMarkDataReport!$B$4:$CL$90,51,0),0)</f>
        <v>21742.68</v>
      </c>
      <c r="AH10" s="258">
        <f>IFERROR(VLOOKUP(A10,CFR20212022_BenchMarkDataReport!$B$4:$CL$90,52,0),0)</f>
        <v>7678.66</v>
      </c>
      <c r="AI10" s="258">
        <f>IFERROR(VLOOKUP(A10,CFR20212022_BenchMarkDataReport!$B$4:$CL$90,53,0),0)</f>
        <v>40894.089999999997</v>
      </c>
      <c r="AJ10" s="258">
        <f>IFERROR(VLOOKUP(A10,CFR20212022_BenchMarkDataReport!$B$4:$CL$90,54,0),0)</f>
        <v>1010.22</v>
      </c>
      <c r="AK10" s="258">
        <f>IFERROR(VLOOKUP(A10,CFR20212022_BenchMarkDataReport!$B$4:$CL$90,55,0),0)</f>
        <v>27555.91</v>
      </c>
      <c r="AL10" s="258">
        <f>IFERROR(VLOOKUP(A10,CFR20212022_BenchMarkDataReport!$B$4:$CL$90,56,0),0)</f>
        <v>-3900</v>
      </c>
      <c r="AM10" s="258">
        <f>IFERROR(VLOOKUP(A10,CFR20212022_BenchMarkDataReport!$B$4:$CL$90,57,0),0)</f>
        <v>10301.719999999999</v>
      </c>
      <c r="AN10" s="258">
        <f>IFERROR(VLOOKUP(A10,CFR20212022_BenchMarkDataReport!$B$4:$CL$90,58,0),0)</f>
        <v>33872.269999999997</v>
      </c>
      <c r="AO10" s="258">
        <f>IFERROR(VLOOKUP(A10,CFR20212022_BenchMarkDataReport!$B$4:$CL$90,59,0),0)</f>
        <v>12440.87</v>
      </c>
      <c r="AP10" s="258">
        <f>IFERROR(VLOOKUP(A10,CFR20212022_BenchMarkDataReport!$B$4:$CL$90,60,0),0)</f>
        <v>0</v>
      </c>
      <c r="AQ10" s="258">
        <f>IFERROR(VLOOKUP(A10,CFR20212022_BenchMarkDataReport!$B$4:$CL$90,61,0),0)</f>
        <v>10090.93</v>
      </c>
      <c r="AR10" s="258">
        <f>IFERROR(VLOOKUP(A10,CFR20212022_BenchMarkDataReport!$B$4:$CL$90,62,0),0)</f>
        <v>7457.47</v>
      </c>
      <c r="AS10" s="258">
        <f>IFERROR(VLOOKUP(A10,CFR20212022_BenchMarkDataReport!$B$4:$CL$90,63,0),0)</f>
        <v>7096.95</v>
      </c>
      <c r="AT10" s="258">
        <f>IFERROR(VLOOKUP(A10,CFR20212022_BenchMarkDataReport!$B$4:$CL$90,64,0),0)</f>
        <v>80426.17</v>
      </c>
      <c r="AU10" s="258">
        <f>IFERROR(VLOOKUP(A10,CFR20212022_BenchMarkDataReport!$B$4:$CL$90,65,0),0)</f>
        <v>28597.37</v>
      </c>
      <c r="AV10" s="258">
        <f>IFERROR(VLOOKUP(A10,CFR20212022_BenchMarkDataReport!$B$4:$CL$90,66,0),0)</f>
        <v>43604.24</v>
      </c>
      <c r="AW10" s="258">
        <f>IFERROR(VLOOKUP(A10,CFR20212022_BenchMarkDataReport!$B$4:$CL$90,67,0),0)</f>
        <v>23373</v>
      </c>
      <c r="AX10" s="258">
        <f>IFERROR(VLOOKUP(A10,CFR20212022_BenchMarkDataReport!$B$4:$CL$90,68,0),0)</f>
        <v>0</v>
      </c>
      <c r="AY10" s="258">
        <f>IFERROR(VLOOKUP(A10,CFR20212022_BenchMarkDataReport!$B$4:$CL$90,69,0),0)</f>
        <v>0</v>
      </c>
      <c r="AZ10" s="258">
        <f>IFERROR(VLOOKUP(A10,CFR20212022_BenchMarkDataReport!$B$4:$CL$90,70,0),0)</f>
        <v>0</v>
      </c>
      <c r="BA10" s="258">
        <f>IFERROR(VLOOKUP(A10,CFR20212022_BenchMarkDataReport!$B$4:$CL$90,71,0),0)</f>
        <v>2791</v>
      </c>
      <c r="BB10" s="258">
        <f>IFERROR(VLOOKUP(A10,CFR20212022_BenchMarkDataReport!$B$4:$CL$90,72,0),0)</f>
        <v>0</v>
      </c>
      <c r="BC10" s="259">
        <f t="shared" si="10"/>
        <v>1499819.9400000002</v>
      </c>
      <c r="BD10" s="260">
        <f t="shared" si="11"/>
        <v>1547617.41</v>
      </c>
      <c r="BE10" s="296">
        <f t="shared" si="12"/>
        <v>-47797.469999999739</v>
      </c>
      <c r="BF10" s="258">
        <f>IFERROR(VLOOKUP(A10,CFR20212022_BenchMarkDataReport!$B$4:$CL$90,16,0),0)</f>
        <v>151052</v>
      </c>
      <c r="BG10" s="296">
        <f t="shared" si="13"/>
        <v>103254.53000000026</v>
      </c>
      <c r="BH10" s="261">
        <f>IFERROR(VLOOKUP(A10,'Pupil Nos BenchmarkData 21-22'!$A$6:$E$94,5,0),0)</f>
        <v>235</v>
      </c>
      <c r="BI10" s="260">
        <f t="shared" si="1"/>
        <v>1248853.05</v>
      </c>
      <c r="BJ10" s="227" t="s">
        <v>183</v>
      </c>
      <c r="BK10" s="262">
        <f t="shared" si="14"/>
        <v>0.78664889600014243</v>
      </c>
      <c r="BL10" s="263">
        <f t="shared" si="15"/>
        <v>5020.5604255319149</v>
      </c>
      <c r="BM10" s="264">
        <f t="shared" si="16"/>
        <v>0</v>
      </c>
      <c r="BN10" s="265">
        <f t="shared" si="17"/>
        <v>0</v>
      </c>
      <c r="BO10" s="262">
        <f t="shared" si="18"/>
        <v>4.6019757545029037E-2</v>
      </c>
      <c r="BP10" s="263">
        <f t="shared" si="19"/>
        <v>293.70787234042558</v>
      </c>
      <c r="BQ10" s="264">
        <f t="shared" si="20"/>
        <v>0</v>
      </c>
      <c r="BR10" s="265">
        <f t="shared" si="21"/>
        <v>0</v>
      </c>
      <c r="BS10" s="262">
        <f t="shared" si="22"/>
        <v>4.7045607354706857E-2</v>
      </c>
      <c r="BT10" s="263">
        <f t="shared" si="23"/>
        <v>300.25506382978722</v>
      </c>
      <c r="BU10" s="264">
        <f t="shared" si="24"/>
        <v>2.3169447927195845E-3</v>
      </c>
      <c r="BV10" s="265">
        <f t="shared" si="25"/>
        <v>14.787234042553191</v>
      </c>
      <c r="BW10" s="262">
        <f t="shared" si="26"/>
        <v>2.6336494766165059E-3</v>
      </c>
      <c r="BX10" s="263">
        <f t="shared" si="27"/>
        <v>16.808510638297872</v>
      </c>
      <c r="BY10" s="264">
        <f t="shared" si="28"/>
        <v>2.4731288743900817E-2</v>
      </c>
      <c r="BZ10" s="266">
        <f t="shared" si="29"/>
        <v>157.84034042553193</v>
      </c>
      <c r="CA10" s="267">
        <f t="shared" si="30"/>
        <v>2.7276607617311714E-3</v>
      </c>
      <c r="CB10" s="268">
        <f t="shared" si="31"/>
        <v>17.408510638297873</v>
      </c>
      <c r="CC10" s="264">
        <f t="shared" si="32"/>
        <v>2.0120461926916373E-2</v>
      </c>
      <c r="CD10" s="265">
        <f t="shared" si="33"/>
        <v>128.41306382978723</v>
      </c>
      <c r="CE10" s="269">
        <f t="shared" si="34"/>
        <v>0.56751035680298811</v>
      </c>
      <c r="CF10" s="267">
        <f t="shared" si="35"/>
        <v>0.47254808467208392</v>
      </c>
      <c r="CG10" s="267">
        <f t="shared" si="36"/>
        <v>0.45795364889310719</v>
      </c>
      <c r="CH10" s="268">
        <f t="shared" si="37"/>
        <v>3015.9022978723401</v>
      </c>
      <c r="CI10" s="264">
        <f t="shared" si="38"/>
        <v>0.29291226858115932</v>
      </c>
      <c r="CJ10" s="270">
        <f t="shared" si="39"/>
        <v>0.24389886428633556</v>
      </c>
      <c r="CK10" s="270">
        <f t="shared" si="40"/>
        <v>0.23636615718868142</v>
      </c>
      <c r="CL10" s="271">
        <f t="shared" si="41"/>
        <v>1556.6143829787234</v>
      </c>
      <c r="CM10" s="269">
        <f t="shared" si="42"/>
        <v>2.2462378580089946E-2</v>
      </c>
      <c r="CN10" s="267">
        <f t="shared" si="43"/>
        <v>1.8703718527705398E-2</v>
      </c>
      <c r="CO10" s="267">
        <f t="shared" si="44"/>
        <v>1.8126062564778205E-2</v>
      </c>
      <c r="CP10" s="268">
        <f t="shared" si="45"/>
        <v>119.37110638297872</v>
      </c>
      <c r="CQ10" s="264">
        <f t="shared" si="46"/>
        <v>4.6293925454239791E-2</v>
      </c>
      <c r="CR10" s="270">
        <f t="shared" si="47"/>
        <v>3.8547500575302387E-2</v>
      </c>
      <c r="CS10" s="270">
        <f t="shared" si="48"/>
        <v>3.7356978298661039E-2</v>
      </c>
      <c r="CT10" s="265">
        <f t="shared" si="49"/>
        <v>246.0183404255319</v>
      </c>
      <c r="CU10" s="269">
        <f t="shared" si="50"/>
        <v>0.93826288048862105</v>
      </c>
      <c r="CV10" s="267">
        <f t="shared" si="51"/>
        <v>0.78126208936787422</v>
      </c>
      <c r="CW10" s="267">
        <f t="shared" si="52"/>
        <v>0.757133159932596</v>
      </c>
      <c r="CX10" s="268">
        <f t="shared" si="53"/>
        <v>4986.1806808510637</v>
      </c>
      <c r="CY10" s="264">
        <f t="shared" si="54"/>
        <v>1.7410118828632401E-2</v>
      </c>
      <c r="CZ10" s="270">
        <f t="shared" si="55"/>
        <v>1.4049131173834495E-2</v>
      </c>
      <c r="DA10" s="265">
        <f t="shared" si="56"/>
        <v>92.522042553191497</v>
      </c>
      <c r="DB10" s="269">
        <f t="shared" si="57"/>
        <v>6.5275822918016934E-4</v>
      </c>
      <c r="DC10" s="268">
        <f t="shared" si="58"/>
        <v>4.2988085106382981</v>
      </c>
      <c r="DD10" s="264">
        <f t="shared" si="59"/>
        <v>2.206497393748608E-2</v>
      </c>
      <c r="DE10" s="270">
        <f t="shared" si="60"/>
        <v>1.7805376071596404E-2</v>
      </c>
      <c r="DF10" s="265">
        <f t="shared" si="61"/>
        <v>117.2591914893617</v>
      </c>
      <c r="DG10" s="269">
        <f t="shared" si="62"/>
        <v>8.2489449018841726E-3</v>
      </c>
      <c r="DH10" s="267">
        <f t="shared" si="63"/>
        <v>6.6565030436042975E-3</v>
      </c>
      <c r="DI10" s="272">
        <f t="shared" si="64"/>
        <v>43.837106382978718</v>
      </c>
      <c r="DJ10" s="264">
        <f t="shared" si="65"/>
        <v>2.7122702707095919E-2</v>
      </c>
      <c r="DK10" s="270">
        <f t="shared" si="66"/>
        <v>2.2584224343623536E-2</v>
      </c>
      <c r="DL10" s="270">
        <f t="shared" si="67"/>
        <v>2.1886720697979225E-2</v>
      </c>
      <c r="DM10" s="265">
        <f t="shared" si="68"/>
        <v>144.13731914893614</v>
      </c>
      <c r="DN10" s="269">
        <f t="shared" si="69"/>
        <v>8.0801580298018247E-3</v>
      </c>
      <c r="DO10" s="267">
        <f t="shared" si="70"/>
        <v>6.5203001302498922E-3</v>
      </c>
      <c r="DP10" s="268">
        <f t="shared" si="71"/>
        <v>42.940127659574472</v>
      </c>
      <c r="DQ10" s="264">
        <f t="shared" si="72"/>
        <v>3.4915429001034184E-2</v>
      </c>
      <c r="DR10" s="270">
        <f t="shared" si="73"/>
        <v>2.8175077198181686E-2</v>
      </c>
      <c r="DS10" s="265">
        <f t="shared" si="74"/>
        <v>185.54995744680849</v>
      </c>
      <c r="DT10" s="269">
        <f t="shared" si="75"/>
        <v>5.1967734066780756E-2</v>
      </c>
      <c r="DU10" s="268">
        <f t="shared" si="76"/>
        <v>342.23902127659574</v>
      </c>
      <c r="DV10" s="264">
        <f t="shared" si="2"/>
        <v>2.6423901499014538E-2</v>
      </c>
      <c r="DW10" s="265">
        <f t="shared" si="3"/>
        <v>174.01740425531912</v>
      </c>
      <c r="DX10" s="264">
        <f t="shared" si="77"/>
        <v>3.7634531941127898E-5</v>
      </c>
      <c r="DY10" s="270">
        <f t="shared" si="78"/>
        <v>3.133709503822172E-5</v>
      </c>
      <c r="DZ10" s="270">
        <f t="shared" si="79"/>
        <v>3.0369262904583117E-5</v>
      </c>
      <c r="EA10" s="265">
        <f t="shared" si="80"/>
        <v>0.2</v>
      </c>
      <c r="EB10" s="273">
        <f>IFERROR(VLOOKUP(A10,'BARNET SCHS PUPIL PREMIUM Nos'!$E$31:$V$117,17,0),0)</f>
        <v>47</v>
      </c>
      <c r="EC10" s="258">
        <f>IFERROR(VLOOKUP(A10,CFR20212022_BenchMarkDataReport!$B$4:$CL$90,36,0),0)</f>
        <v>483.35</v>
      </c>
      <c r="ED10" s="258">
        <f>IFERROR(VLOOKUP(A10,CFR20212022_BenchMarkDataReport!$B$4:$CL$90,37,0),0)</f>
        <v>6105.62</v>
      </c>
      <c r="EE10" s="258">
        <f>IFERROR(VLOOKUP(A10,CFR20212022_BenchMarkDataReport!$B$4:$CL$90,38,0),0)</f>
        <v>7060</v>
      </c>
      <c r="EF10" s="258">
        <f>IFERROR(VLOOKUP(A10,CFR20212022_BenchMarkDataReport!$B$4:$CL$90,39,0),0)</f>
        <v>41702.83</v>
      </c>
      <c r="EG10" s="227"/>
    </row>
    <row r="11" spans="1:230" s="5" customFormat="1">
      <c r="A11" s="293">
        <v>3300</v>
      </c>
      <c r="B11" s="294">
        <v>10040</v>
      </c>
      <c r="C11" s="297" t="s">
        <v>33</v>
      </c>
      <c r="D11" s="258">
        <f>IFERROR(VLOOKUP(A11,CFR20212022_BenchMarkDataReport!$B$4:$CL$90,19,0),0)</f>
        <v>940994.59</v>
      </c>
      <c r="E11" s="258">
        <f>IFERROR(VLOOKUP(A11,CFR20212022_BenchMarkDataReport!$B$4:$CL$90,20,0),0)</f>
        <v>0</v>
      </c>
      <c r="F11" s="258">
        <f>IFERROR(VLOOKUP(A11,CFR20212022_BenchMarkDataReport!$B$4:$CL$90,21,0),0)</f>
        <v>39240.15</v>
      </c>
      <c r="G11" s="258">
        <f>IFERROR(VLOOKUP(A11,CFR20212022_BenchMarkDataReport!$B$4:$CL$90,22,0),0)</f>
        <v>0</v>
      </c>
      <c r="H11" s="258">
        <f>IFERROR(VLOOKUP(A11,CFR20212022_BenchMarkDataReport!$B$4:$CL$90,23,0),0)</f>
        <v>114324.99</v>
      </c>
      <c r="I11" s="258">
        <f>IFERROR(VLOOKUP(A11,CFR20212022_BenchMarkDataReport!$B$4:$CL$90,24,0),0)</f>
        <v>0</v>
      </c>
      <c r="J11" s="258">
        <f>IFERROR(VLOOKUP(A11,CFR20212022_BenchMarkDataReport!$B$4:$CL$90,25,0),0)</f>
        <v>0</v>
      </c>
      <c r="K11" s="258">
        <f>IFERROR(VLOOKUP(A11,CFR20212022_BenchMarkDataReport!$B$4:$CL$90,26,0),0)</f>
        <v>0</v>
      </c>
      <c r="L11" s="258">
        <f>IFERROR(VLOOKUP(A11,CFR20212022_BenchMarkDataReport!$B$4:$CL$90,27,0),0)</f>
        <v>10064.4</v>
      </c>
      <c r="M11" s="258">
        <f>IFERROR(VLOOKUP(A11,CFR20212022_BenchMarkDataReport!$B$4:$CL$90,28,0),0)</f>
        <v>5594.59</v>
      </c>
      <c r="N11" s="258">
        <f>IFERROR(VLOOKUP(A11,CFR20212022_BenchMarkDataReport!$B$4:$CL$90,29,0),0)</f>
        <v>9940.08</v>
      </c>
      <c r="O11" s="258">
        <f>IFERROR(VLOOKUP(A11,CFR20212022_BenchMarkDataReport!$B$4:$CL$90,30,0),0)</f>
        <v>0</v>
      </c>
      <c r="P11" s="258">
        <f>IFERROR(VLOOKUP(A11,CFR20212022_BenchMarkDataReport!$B$4:$CL$90,31,0),0)</f>
        <v>-1293.1500000000001</v>
      </c>
      <c r="Q11" s="258">
        <f>IFERROR(VLOOKUP(A11,CFR20212022_BenchMarkDataReport!$B$4:$CL$90,32,0),0)</f>
        <v>12815.58</v>
      </c>
      <c r="R11" s="258">
        <f>IFERROR(VLOOKUP(A11,CFR20212022_BenchMarkDataReport!$B$4:$CL$90,33,0),0)</f>
        <v>0</v>
      </c>
      <c r="S11" s="258">
        <f>IFERROR(VLOOKUP(A11,CFR20212022_BenchMarkDataReport!$B$4:$CL$90,34,0),0)</f>
        <v>0</v>
      </c>
      <c r="T11" s="258">
        <f>IFERROR(VLOOKUP(A11,CFR20212022_BenchMarkDataReport!$B$4:$CL$90,35,0),0)</f>
        <v>0</v>
      </c>
      <c r="U11" s="258">
        <f t="shared" si="0"/>
        <v>44178.259999999995</v>
      </c>
      <c r="V11" s="258">
        <f>IFERROR(VLOOKUP(A11,CFR20212022_BenchMarkDataReport!$B$4:$CL$90,40,0),0)</f>
        <v>597177.76</v>
      </c>
      <c r="W11" s="258">
        <f>IFERROR(VLOOKUP(A11,CFR20212022_BenchMarkDataReport!$B$4:$CL$90,41,0),0)</f>
        <v>0</v>
      </c>
      <c r="X11" s="258">
        <f>IFERROR(VLOOKUP(A11,CFR20212022_BenchMarkDataReport!$B$4:$CL$90,42,0),0)</f>
        <v>134362.26999999999</v>
      </c>
      <c r="Y11" s="258">
        <f>IFERROR(VLOOKUP(A11,CFR20212022_BenchMarkDataReport!$B$4:$CL$90,43,0),0)</f>
        <v>36387.93</v>
      </c>
      <c r="Z11" s="258">
        <f>IFERROR(VLOOKUP(A11,CFR20212022_BenchMarkDataReport!$B$4:$CL$90,44,0),0)</f>
        <v>40216.65</v>
      </c>
      <c r="AA11" s="258">
        <f>IFERROR(VLOOKUP(A11,CFR20212022_BenchMarkDataReport!$B$4:$CL$90,45,0),0)</f>
        <v>0</v>
      </c>
      <c r="AB11" s="258">
        <f>IFERROR(VLOOKUP(A11,CFR20212022_BenchMarkDataReport!$B$4:$CL$90,46,0),0)</f>
        <v>14398.73</v>
      </c>
      <c r="AC11" s="258">
        <f>IFERROR(VLOOKUP(A11,CFR20212022_BenchMarkDataReport!$B$4:$CL$90,47,0),0)</f>
        <v>2503.37</v>
      </c>
      <c r="AD11" s="258">
        <f>IFERROR(VLOOKUP(A11,CFR20212022_BenchMarkDataReport!$B$4:$CL$90,48,0),0)</f>
        <v>2204.71</v>
      </c>
      <c r="AE11" s="258">
        <f>IFERROR(VLOOKUP(A11,CFR20212022_BenchMarkDataReport!$B$4:$CL$90,49,0),0)</f>
        <v>280.44</v>
      </c>
      <c r="AF11" s="258">
        <f>IFERROR(VLOOKUP(A11,CFR20212022_BenchMarkDataReport!$B$4:$CL$90,50,0),0)</f>
        <v>0</v>
      </c>
      <c r="AG11" s="258">
        <f>IFERROR(VLOOKUP(A11,CFR20212022_BenchMarkDataReport!$B$4:$CL$90,51,0),0)</f>
        <v>9528.9599999999991</v>
      </c>
      <c r="AH11" s="258">
        <f>IFERROR(VLOOKUP(A11,CFR20212022_BenchMarkDataReport!$B$4:$CL$90,52,0),0)</f>
        <v>6907.54</v>
      </c>
      <c r="AI11" s="258">
        <f>IFERROR(VLOOKUP(A11,CFR20212022_BenchMarkDataReport!$B$4:$CL$90,53,0),0)</f>
        <v>22306.14</v>
      </c>
      <c r="AJ11" s="258">
        <f>IFERROR(VLOOKUP(A11,CFR20212022_BenchMarkDataReport!$B$4:$CL$90,54,0),0)</f>
        <v>6173.45</v>
      </c>
      <c r="AK11" s="258">
        <f>IFERROR(VLOOKUP(A11,CFR20212022_BenchMarkDataReport!$B$4:$CL$90,55,0),0)</f>
        <v>17833.75</v>
      </c>
      <c r="AL11" s="258">
        <f>IFERROR(VLOOKUP(A11,CFR20212022_BenchMarkDataReport!$B$4:$CL$90,56,0),0)</f>
        <v>2973.6</v>
      </c>
      <c r="AM11" s="258">
        <f>IFERROR(VLOOKUP(A11,CFR20212022_BenchMarkDataReport!$B$4:$CL$90,57,0),0)</f>
        <v>6240.64</v>
      </c>
      <c r="AN11" s="258">
        <f>IFERROR(VLOOKUP(A11,CFR20212022_BenchMarkDataReport!$B$4:$CL$90,58,0),0)</f>
        <v>24084.720000000001</v>
      </c>
      <c r="AO11" s="258">
        <f>IFERROR(VLOOKUP(A11,CFR20212022_BenchMarkDataReport!$B$4:$CL$90,59,0),0)</f>
        <v>11208.66</v>
      </c>
      <c r="AP11" s="258">
        <f>IFERROR(VLOOKUP(A11,CFR20212022_BenchMarkDataReport!$B$4:$CL$90,60,0),0)</f>
        <v>0</v>
      </c>
      <c r="AQ11" s="258">
        <f>IFERROR(VLOOKUP(A11,CFR20212022_BenchMarkDataReport!$B$4:$CL$90,61,0),0)</f>
        <v>8137.72</v>
      </c>
      <c r="AR11" s="258">
        <f>IFERROR(VLOOKUP(A11,CFR20212022_BenchMarkDataReport!$B$4:$CL$90,62,0),0)</f>
        <v>4765.7700000000004</v>
      </c>
      <c r="AS11" s="258">
        <f>IFERROR(VLOOKUP(A11,CFR20212022_BenchMarkDataReport!$B$4:$CL$90,63,0),0)</f>
        <v>2424.14</v>
      </c>
      <c r="AT11" s="258">
        <f>IFERROR(VLOOKUP(A11,CFR20212022_BenchMarkDataReport!$B$4:$CL$90,64,0),0)</f>
        <v>34225.17</v>
      </c>
      <c r="AU11" s="258">
        <f>IFERROR(VLOOKUP(A11,CFR20212022_BenchMarkDataReport!$B$4:$CL$90,65,0),0)</f>
        <v>20150.580000000002</v>
      </c>
      <c r="AV11" s="258">
        <f>IFERROR(VLOOKUP(A11,CFR20212022_BenchMarkDataReport!$B$4:$CL$90,66,0),0)</f>
        <v>77035.31</v>
      </c>
      <c r="AW11" s="258">
        <f>IFERROR(VLOOKUP(A11,CFR20212022_BenchMarkDataReport!$B$4:$CL$90,67,0),0)</f>
        <v>35469.760000000002</v>
      </c>
      <c r="AX11" s="258">
        <f>IFERROR(VLOOKUP(A11,CFR20212022_BenchMarkDataReport!$B$4:$CL$90,68,0),0)</f>
        <v>0</v>
      </c>
      <c r="AY11" s="258">
        <f>IFERROR(VLOOKUP(A11,CFR20212022_BenchMarkDataReport!$B$4:$CL$90,69,0),0)</f>
        <v>0</v>
      </c>
      <c r="AZ11" s="258">
        <f>IFERROR(VLOOKUP(A11,CFR20212022_BenchMarkDataReport!$B$4:$CL$90,70,0),0)</f>
        <v>0</v>
      </c>
      <c r="BA11" s="258">
        <f>IFERROR(VLOOKUP(A11,CFR20212022_BenchMarkDataReport!$B$4:$CL$90,71,0),0)</f>
        <v>0</v>
      </c>
      <c r="BB11" s="258">
        <f>IFERROR(VLOOKUP(A11,CFR20212022_BenchMarkDataReport!$B$4:$CL$90,72,0),0)</f>
        <v>0</v>
      </c>
      <c r="BC11" s="259">
        <f t="shared" si="10"/>
        <v>1175859.4900000002</v>
      </c>
      <c r="BD11" s="260">
        <f t="shared" si="11"/>
        <v>1116997.77</v>
      </c>
      <c r="BE11" s="296">
        <f t="shared" si="12"/>
        <v>58861.720000000205</v>
      </c>
      <c r="BF11" s="258">
        <f>IFERROR(VLOOKUP(A11,CFR20212022_BenchMarkDataReport!$B$4:$CL$90,16,0),0)</f>
        <v>101.49</v>
      </c>
      <c r="BG11" s="296">
        <f t="shared" si="13"/>
        <v>58963.210000000203</v>
      </c>
      <c r="BH11" s="261">
        <f>IFERROR(VLOOKUP(A11,'Pupil Nos BenchmarkData 21-22'!$A$6:$E$94,5,0),0)</f>
        <v>158</v>
      </c>
      <c r="BI11" s="260">
        <f t="shared" si="1"/>
        <v>980234.74</v>
      </c>
      <c r="BJ11" s="227" t="s">
        <v>183</v>
      </c>
      <c r="BK11" s="262">
        <f t="shared" si="14"/>
        <v>0.80026108391573192</v>
      </c>
      <c r="BL11" s="263">
        <f t="shared" si="15"/>
        <v>5955.6619620253159</v>
      </c>
      <c r="BM11" s="264">
        <f t="shared" si="16"/>
        <v>0</v>
      </c>
      <c r="BN11" s="265">
        <f t="shared" si="17"/>
        <v>0</v>
      </c>
      <c r="BO11" s="262">
        <f t="shared" si="18"/>
        <v>3.3371461755179604E-2</v>
      </c>
      <c r="BP11" s="263">
        <f t="shared" si="19"/>
        <v>248.35537974683544</v>
      </c>
      <c r="BQ11" s="264">
        <f t="shared" si="20"/>
        <v>0</v>
      </c>
      <c r="BR11" s="265">
        <f t="shared" si="21"/>
        <v>0</v>
      </c>
      <c r="BS11" s="262">
        <f t="shared" si="22"/>
        <v>9.722674432809994E-2</v>
      </c>
      <c r="BT11" s="263">
        <f t="shared" si="23"/>
        <v>723.57588607594937</v>
      </c>
      <c r="BU11" s="264">
        <f t="shared" si="24"/>
        <v>0</v>
      </c>
      <c r="BV11" s="265">
        <f t="shared" si="25"/>
        <v>0</v>
      </c>
      <c r="BW11" s="262">
        <f t="shared" si="26"/>
        <v>0</v>
      </c>
      <c r="BX11" s="263">
        <f t="shared" si="27"/>
        <v>0</v>
      </c>
      <c r="BY11" s="264">
        <f t="shared" si="28"/>
        <v>8.5591859279036796E-3</v>
      </c>
      <c r="BZ11" s="266">
        <f t="shared" si="29"/>
        <v>63.698734177215186</v>
      </c>
      <c r="CA11" s="267">
        <f t="shared" si="30"/>
        <v>-1.0997487463404322E-3</v>
      </c>
      <c r="CB11" s="268">
        <f t="shared" si="31"/>
        <v>-8.1844936708860772</v>
      </c>
      <c r="CC11" s="264">
        <f t="shared" si="32"/>
        <v>1.0898904255983848E-2</v>
      </c>
      <c r="CD11" s="265">
        <f t="shared" si="33"/>
        <v>81.111265822784816</v>
      </c>
      <c r="CE11" s="269">
        <f t="shared" si="34"/>
        <v>0.62977602691371659</v>
      </c>
      <c r="CF11" s="267">
        <f t="shared" si="35"/>
        <v>0.52500179251859413</v>
      </c>
      <c r="CG11" s="267">
        <f t="shared" si="36"/>
        <v>0.55266747757249324</v>
      </c>
      <c r="CH11" s="268">
        <f t="shared" si="37"/>
        <v>3907.141392405063</v>
      </c>
      <c r="CI11" s="264">
        <f t="shared" si="38"/>
        <v>0.13707152431671621</v>
      </c>
      <c r="CJ11" s="270">
        <f t="shared" si="39"/>
        <v>0.1142672837551364</v>
      </c>
      <c r="CK11" s="270">
        <f t="shared" si="40"/>
        <v>0.12028875402320632</v>
      </c>
      <c r="CL11" s="271">
        <f t="shared" si="41"/>
        <v>850.39411392405054</v>
      </c>
      <c r="CM11" s="269">
        <f t="shared" si="42"/>
        <v>3.7121649045003244E-2</v>
      </c>
      <c r="CN11" s="267">
        <f t="shared" si="43"/>
        <v>3.0945814792888215E-2</v>
      </c>
      <c r="CO11" s="267">
        <f t="shared" si="44"/>
        <v>3.2576546683705555E-2</v>
      </c>
      <c r="CP11" s="268">
        <f t="shared" si="45"/>
        <v>230.30335443037976</v>
      </c>
      <c r="CQ11" s="264">
        <f t="shared" si="46"/>
        <v>4.1027570600078916E-2</v>
      </c>
      <c r="CR11" s="270">
        <f t="shared" si="47"/>
        <v>3.4201918122036837E-2</v>
      </c>
      <c r="CS11" s="270">
        <f t="shared" si="48"/>
        <v>3.600423481597461E-2</v>
      </c>
      <c r="CT11" s="265">
        <f t="shared" si="49"/>
        <v>254.53575949367089</v>
      </c>
      <c r="CU11" s="269">
        <f t="shared" si="50"/>
        <v>0.83912894170635099</v>
      </c>
      <c r="CV11" s="267">
        <f t="shared" si="51"/>
        <v>0.6995251958208033</v>
      </c>
      <c r="CW11" s="267">
        <f t="shared" si="52"/>
        <v>0.7363876294936561</v>
      </c>
      <c r="CX11" s="268">
        <f t="shared" si="53"/>
        <v>5205.9705063291149</v>
      </c>
      <c r="CY11" s="264">
        <f t="shared" si="54"/>
        <v>9.7211000703770201E-3</v>
      </c>
      <c r="CZ11" s="270">
        <f t="shared" si="55"/>
        <v>8.5308675235761661E-3</v>
      </c>
      <c r="DA11" s="265">
        <f t="shared" si="56"/>
        <v>60.309873417721512</v>
      </c>
      <c r="DB11" s="269">
        <f t="shared" si="57"/>
        <v>5.5268239255303079E-3</v>
      </c>
      <c r="DC11" s="268">
        <f t="shared" si="58"/>
        <v>39.072468354430377</v>
      </c>
      <c r="DD11" s="264">
        <f t="shared" si="59"/>
        <v>1.8193346218274207E-2</v>
      </c>
      <c r="DE11" s="270">
        <f t="shared" si="60"/>
        <v>1.5965788365002734E-2</v>
      </c>
      <c r="DF11" s="265">
        <f t="shared" si="61"/>
        <v>112.87183544303798</v>
      </c>
      <c r="DG11" s="269">
        <f t="shared" si="62"/>
        <v>6.366475034337184E-3</v>
      </c>
      <c r="DH11" s="267">
        <f t="shared" si="63"/>
        <v>5.5869762389946405E-3</v>
      </c>
      <c r="DI11" s="272">
        <f t="shared" si="64"/>
        <v>39.497721518987341</v>
      </c>
      <c r="DJ11" s="264">
        <f t="shared" si="65"/>
        <v>2.4570359544694366E-2</v>
      </c>
      <c r="DK11" s="270">
        <f t="shared" si="66"/>
        <v>2.0482651375293145E-2</v>
      </c>
      <c r="DL11" s="270">
        <f t="shared" si="67"/>
        <v>2.1562012608136182E-2</v>
      </c>
      <c r="DM11" s="265">
        <f t="shared" si="68"/>
        <v>152.43493670886076</v>
      </c>
      <c r="DN11" s="269">
        <f t="shared" si="69"/>
        <v>8.3018073813625505E-3</v>
      </c>
      <c r="DO11" s="267">
        <f t="shared" si="70"/>
        <v>7.2853502652919355E-3</v>
      </c>
      <c r="DP11" s="268">
        <f t="shared" si="71"/>
        <v>51.504556962025319</v>
      </c>
      <c r="DQ11" s="264">
        <f t="shared" si="72"/>
        <v>7.858863479986436E-2</v>
      </c>
      <c r="DR11" s="270">
        <f t="shared" si="73"/>
        <v>6.8966395519303489E-2</v>
      </c>
      <c r="DS11" s="265">
        <f t="shared" si="74"/>
        <v>487.56525316455696</v>
      </c>
      <c r="DT11" s="269">
        <f t="shared" si="75"/>
        <v>3.0640320794910806E-2</v>
      </c>
      <c r="DU11" s="268">
        <f t="shared" si="76"/>
        <v>216.61499999999998</v>
      </c>
      <c r="DV11" s="264">
        <f t="shared" si="2"/>
        <v>1.9969726528639355E-2</v>
      </c>
      <c r="DW11" s="265">
        <f t="shared" si="3"/>
        <v>141.17810126582279</v>
      </c>
      <c r="DX11" s="264">
        <f t="shared" si="77"/>
        <v>8.671392323842757E-5</v>
      </c>
      <c r="DY11" s="270">
        <f t="shared" si="78"/>
        <v>7.2287548574362389E-5</v>
      </c>
      <c r="DZ11" s="270">
        <f t="shared" si="79"/>
        <v>7.6096839477128055E-5</v>
      </c>
      <c r="EA11" s="265">
        <f t="shared" si="80"/>
        <v>0.53797468354430378</v>
      </c>
      <c r="EB11" s="273">
        <f>IFERROR(VLOOKUP(A11,'BARNET SCHS PUPIL PREMIUM Nos'!$E$31:$V$117,17,0),0)</f>
        <v>85</v>
      </c>
      <c r="EC11" s="258">
        <f>IFERROR(VLOOKUP(A11,CFR20212022_BenchMarkDataReport!$B$4:$CL$90,36,0),0)</f>
        <v>0</v>
      </c>
      <c r="ED11" s="258">
        <f>IFERROR(VLOOKUP(A11,CFR20212022_BenchMarkDataReport!$B$4:$CL$90,37,0),0)</f>
        <v>0</v>
      </c>
      <c r="EE11" s="258">
        <f>IFERROR(VLOOKUP(A11,CFR20212022_BenchMarkDataReport!$B$4:$CL$90,38,0),0)</f>
        <v>17296.259999999998</v>
      </c>
      <c r="EF11" s="258">
        <f>IFERROR(VLOOKUP(A11,CFR20212022_BenchMarkDataReport!$B$4:$CL$90,39,0),0)</f>
        <v>26882</v>
      </c>
      <c r="EG11" s="227"/>
    </row>
    <row r="12" spans="1:230" s="5" customFormat="1">
      <c r="A12" s="293">
        <v>3500</v>
      </c>
      <c r="B12" s="294">
        <v>10043</v>
      </c>
      <c r="C12" s="293" t="s">
        <v>34</v>
      </c>
      <c r="D12" s="258">
        <f>IFERROR(VLOOKUP(A12,CFR20212022_BenchMarkDataReport!$B$4:$CL$90,19,0),0)</f>
        <v>808949.72</v>
      </c>
      <c r="E12" s="258">
        <f>IFERROR(VLOOKUP(A12,CFR20212022_BenchMarkDataReport!$B$4:$CL$90,20,0),0)</f>
        <v>0</v>
      </c>
      <c r="F12" s="258">
        <f>IFERROR(VLOOKUP(A12,CFR20212022_BenchMarkDataReport!$B$4:$CL$90,21,0),0)</f>
        <v>19566.98</v>
      </c>
      <c r="G12" s="258">
        <f>IFERROR(VLOOKUP(A12,CFR20212022_BenchMarkDataReport!$B$4:$CL$90,22,0),0)</f>
        <v>0</v>
      </c>
      <c r="H12" s="258">
        <f>IFERROR(VLOOKUP(A12,CFR20212022_BenchMarkDataReport!$B$4:$CL$90,23,0),0)</f>
        <v>19139.97</v>
      </c>
      <c r="I12" s="258">
        <f>IFERROR(VLOOKUP(A12,CFR20212022_BenchMarkDataReport!$B$4:$CL$90,24,0),0)</f>
        <v>6667</v>
      </c>
      <c r="J12" s="258">
        <f>IFERROR(VLOOKUP(A12,CFR20212022_BenchMarkDataReport!$B$4:$CL$90,25,0),0)</f>
        <v>2340</v>
      </c>
      <c r="K12" s="258">
        <f>IFERROR(VLOOKUP(A12,CFR20212022_BenchMarkDataReport!$B$4:$CL$90,26,0),0)</f>
        <v>0</v>
      </c>
      <c r="L12" s="258">
        <f>IFERROR(VLOOKUP(A12,CFR20212022_BenchMarkDataReport!$B$4:$CL$90,27,0),0)</f>
        <v>16603.38</v>
      </c>
      <c r="M12" s="258">
        <f>IFERROR(VLOOKUP(A12,CFR20212022_BenchMarkDataReport!$B$4:$CL$90,28,0),0)</f>
        <v>0</v>
      </c>
      <c r="N12" s="258">
        <f>IFERROR(VLOOKUP(A12,CFR20212022_BenchMarkDataReport!$B$4:$CL$90,29,0),0)</f>
        <v>0</v>
      </c>
      <c r="O12" s="258">
        <f>IFERROR(VLOOKUP(A12,CFR20212022_BenchMarkDataReport!$B$4:$CL$90,30,0),0)</f>
        <v>3325</v>
      </c>
      <c r="P12" s="258">
        <f>IFERROR(VLOOKUP(A12,CFR20212022_BenchMarkDataReport!$B$4:$CL$90,31,0),0)</f>
        <v>1212</v>
      </c>
      <c r="Q12" s="258">
        <f>IFERROR(VLOOKUP(A12,CFR20212022_BenchMarkDataReport!$B$4:$CL$90,32,0),0)</f>
        <v>585.5</v>
      </c>
      <c r="R12" s="258">
        <f>IFERROR(VLOOKUP(A12,CFR20212022_BenchMarkDataReport!$B$4:$CL$90,33,0),0)</f>
        <v>0</v>
      </c>
      <c r="S12" s="258">
        <f>IFERROR(VLOOKUP(A12,CFR20212022_BenchMarkDataReport!$B$4:$CL$90,34,0),0)</f>
        <v>0</v>
      </c>
      <c r="T12" s="258">
        <f>IFERROR(VLOOKUP(A12,CFR20212022_BenchMarkDataReport!$B$4:$CL$90,35,0),0)</f>
        <v>0</v>
      </c>
      <c r="U12" s="258">
        <f t="shared" si="0"/>
        <v>64113.049999999996</v>
      </c>
      <c r="V12" s="258">
        <f>IFERROR(VLOOKUP(A12,CFR20212022_BenchMarkDataReport!$B$4:$CL$90,40,0),0)</f>
        <v>603387.81999999995</v>
      </c>
      <c r="W12" s="258">
        <f>IFERROR(VLOOKUP(A12,CFR20212022_BenchMarkDataReport!$B$4:$CL$90,41,0),0)</f>
        <v>0</v>
      </c>
      <c r="X12" s="258">
        <f>IFERROR(VLOOKUP(A12,CFR20212022_BenchMarkDataReport!$B$4:$CL$90,42,0),0)</f>
        <v>187590.99</v>
      </c>
      <c r="Y12" s="258">
        <f>IFERROR(VLOOKUP(A12,CFR20212022_BenchMarkDataReport!$B$4:$CL$90,43,0),0)</f>
        <v>15262.91</v>
      </c>
      <c r="Z12" s="258">
        <f>IFERROR(VLOOKUP(A12,CFR20212022_BenchMarkDataReport!$B$4:$CL$90,44,0),0)</f>
        <v>39998.160000000003</v>
      </c>
      <c r="AA12" s="258">
        <f>IFERROR(VLOOKUP(A12,CFR20212022_BenchMarkDataReport!$B$4:$CL$90,45,0),0)</f>
        <v>0</v>
      </c>
      <c r="AB12" s="258">
        <f>IFERROR(VLOOKUP(A12,CFR20212022_BenchMarkDataReport!$B$4:$CL$90,46,0),0)</f>
        <v>1922.77</v>
      </c>
      <c r="AC12" s="258">
        <f>IFERROR(VLOOKUP(A12,CFR20212022_BenchMarkDataReport!$B$4:$CL$90,47,0),0)</f>
        <v>418.75</v>
      </c>
      <c r="AD12" s="258">
        <f>IFERROR(VLOOKUP(A12,CFR20212022_BenchMarkDataReport!$B$4:$CL$90,48,0),0)</f>
        <v>224.17</v>
      </c>
      <c r="AE12" s="258">
        <f>IFERROR(VLOOKUP(A12,CFR20212022_BenchMarkDataReport!$B$4:$CL$90,49,0),0)</f>
        <v>211.56</v>
      </c>
      <c r="AF12" s="258">
        <f>IFERROR(VLOOKUP(A12,CFR20212022_BenchMarkDataReport!$B$4:$CL$90,50,0),0)</f>
        <v>0</v>
      </c>
      <c r="AG12" s="258">
        <f>IFERROR(VLOOKUP(A12,CFR20212022_BenchMarkDataReport!$B$4:$CL$90,51,0),0)</f>
        <v>14727.1</v>
      </c>
      <c r="AH12" s="258">
        <f>IFERROR(VLOOKUP(A12,CFR20212022_BenchMarkDataReport!$B$4:$CL$90,52,0),0)</f>
        <v>0</v>
      </c>
      <c r="AI12" s="258">
        <f>IFERROR(VLOOKUP(A12,CFR20212022_BenchMarkDataReport!$B$4:$CL$90,53,0),0)</f>
        <v>13491.91</v>
      </c>
      <c r="AJ12" s="258">
        <f>IFERROR(VLOOKUP(A12,CFR20212022_BenchMarkDataReport!$B$4:$CL$90,54,0),0)</f>
        <v>1297.25</v>
      </c>
      <c r="AK12" s="258">
        <f>IFERROR(VLOOKUP(A12,CFR20212022_BenchMarkDataReport!$B$4:$CL$90,55,0),0)</f>
        <v>12041.88</v>
      </c>
      <c r="AL12" s="258">
        <f>IFERROR(VLOOKUP(A12,CFR20212022_BenchMarkDataReport!$B$4:$CL$90,56,0),0)</f>
        <v>2457.6</v>
      </c>
      <c r="AM12" s="258">
        <f>IFERROR(VLOOKUP(A12,CFR20212022_BenchMarkDataReport!$B$4:$CL$90,57,0),0)</f>
        <v>3441.38</v>
      </c>
      <c r="AN12" s="258">
        <f>IFERROR(VLOOKUP(A12,CFR20212022_BenchMarkDataReport!$B$4:$CL$90,58,0),0)</f>
        <v>10105.17</v>
      </c>
      <c r="AO12" s="258">
        <f>IFERROR(VLOOKUP(A12,CFR20212022_BenchMarkDataReport!$B$4:$CL$90,59,0),0)</f>
        <v>8439.58</v>
      </c>
      <c r="AP12" s="258">
        <f>IFERROR(VLOOKUP(A12,CFR20212022_BenchMarkDataReport!$B$4:$CL$90,60,0),0)</f>
        <v>0</v>
      </c>
      <c r="AQ12" s="258">
        <f>IFERROR(VLOOKUP(A12,CFR20212022_BenchMarkDataReport!$B$4:$CL$90,61,0),0)</f>
        <v>7055.22</v>
      </c>
      <c r="AR12" s="258">
        <f>IFERROR(VLOOKUP(A12,CFR20212022_BenchMarkDataReport!$B$4:$CL$90,62,0),0)</f>
        <v>6128.79</v>
      </c>
      <c r="AS12" s="258">
        <f>IFERROR(VLOOKUP(A12,CFR20212022_BenchMarkDataReport!$B$4:$CL$90,63,0),0)</f>
        <v>4573.99</v>
      </c>
      <c r="AT12" s="258">
        <f>IFERROR(VLOOKUP(A12,CFR20212022_BenchMarkDataReport!$B$4:$CL$90,64,0),0)</f>
        <v>38833.199999999997</v>
      </c>
      <c r="AU12" s="258">
        <f>IFERROR(VLOOKUP(A12,CFR20212022_BenchMarkDataReport!$B$4:$CL$90,65,0),0)</f>
        <v>14530.82</v>
      </c>
      <c r="AV12" s="258">
        <f>IFERROR(VLOOKUP(A12,CFR20212022_BenchMarkDataReport!$B$4:$CL$90,66,0),0)</f>
        <v>45000.800000000003</v>
      </c>
      <c r="AW12" s="258">
        <f>IFERROR(VLOOKUP(A12,CFR20212022_BenchMarkDataReport!$B$4:$CL$90,67,0),0)</f>
        <v>14898.85</v>
      </c>
      <c r="AX12" s="258">
        <f>IFERROR(VLOOKUP(A12,CFR20212022_BenchMarkDataReport!$B$4:$CL$90,68,0),0)</f>
        <v>0</v>
      </c>
      <c r="AY12" s="258">
        <f>IFERROR(VLOOKUP(A12,CFR20212022_BenchMarkDataReport!$B$4:$CL$90,69,0),0)</f>
        <v>0</v>
      </c>
      <c r="AZ12" s="258">
        <f>IFERROR(VLOOKUP(A12,CFR20212022_BenchMarkDataReport!$B$4:$CL$90,70,0),0)</f>
        <v>0</v>
      </c>
      <c r="BA12" s="258">
        <f>IFERROR(VLOOKUP(A12,CFR20212022_BenchMarkDataReport!$B$4:$CL$90,71,0),0)</f>
        <v>0</v>
      </c>
      <c r="BB12" s="258">
        <f>IFERROR(VLOOKUP(A12,CFR20212022_BenchMarkDataReport!$B$4:$CL$90,72,0),0)</f>
        <v>0</v>
      </c>
      <c r="BC12" s="259">
        <f t="shared" si="10"/>
        <v>942502.6</v>
      </c>
      <c r="BD12" s="260">
        <f t="shared" si="11"/>
        <v>1046040.67</v>
      </c>
      <c r="BE12" s="296">
        <f t="shared" si="12"/>
        <v>-103538.07000000007</v>
      </c>
      <c r="BF12" s="258">
        <f>IFERROR(VLOOKUP(A12,CFR20212022_BenchMarkDataReport!$B$4:$CL$90,16,0),0)</f>
        <v>112882.12</v>
      </c>
      <c r="BG12" s="296">
        <f t="shared" si="13"/>
        <v>9344.0499999999302</v>
      </c>
      <c r="BH12" s="261">
        <f>IFERROR(VLOOKUP(A12,'Pupil Nos BenchmarkData 21-22'!$A$6:$E$94,5,0),0)</f>
        <v>152</v>
      </c>
      <c r="BI12" s="260">
        <f t="shared" si="1"/>
        <v>828516.7</v>
      </c>
      <c r="BJ12" s="227" t="s">
        <v>183</v>
      </c>
      <c r="BK12" s="262">
        <f t="shared" si="14"/>
        <v>0.85829972246230413</v>
      </c>
      <c r="BL12" s="263">
        <f t="shared" si="15"/>
        <v>5322.0376315789472</v>
      </c>
      <c r="BM12" s="264">
        <f t="shared" si="16"/>
        <v>0</v>
      </c>
      <c r="BN12" s="265">
        <f t="shared" si="17"/>
        <v>0</v>
      </c>
      <c r="BO12" s="262">
        <f t="shared" si="18"/>
        <v>2.0760664214613308E-2</v>
      </c>
      <c r="BP12" s="263">
        <f t="shared" si="19"/>
        <v>128.73013157894738</v>
      </c>
      <c r="BQ12" s="264">
        <f t="shared" si="20"/>
        <v>0</v>
      </c>
      <c r="BR12" s="265">
        <f t="shared" si="21"/>
        <v>0</v>
      </c>
      <c r="BS12" s="262">
        <f t="shared" si="22"/>
        <v>2.030760445647577E-2</v>
      </c>
      <c r="BT12" s="263">
        <f t="shared" si="23"/>
        <v>125.9208552631579</v>
      </c>
      <c r="BU12" s="264">
        <f t="shared" si="24"/>
        <v>7.0737205393385655E-3</v>
      </c>
      <c r="BV12" s="265">
        <f t="shared" si="25"/>
        <v>43.861842105263158</v>
      </c>
      <c r="BW12" s="262">
        <f t="shared" si="26"/>
        <v>2.4827517717192506E-3</v>
      </c>
      <c r="BX12" s="263">
        <f t="shared" si="27"/>
        <v>15.394736842105264</v>
      </c>
      <c r="BY12" s="264">
        <f t="shared" si="28"/>
        <v>1.7616269705781184E-2</v>
      </c>
      <c r="BZ12" s="266">
        <f t="shared" si="29"/>
        <v>109.23276315789474</v>
      </c>
      <c r="CA12" s="267">
        <f t="shared" si="30"/>
        <v>1.2859380971468938E-3</v>
      </c>
      <c r="CB12" s="268">
        <f t="shared" si="31"/>
        <v>7.9736842105263159</v>
      </c>
      <c r="CC12" s="264">
        <f t="shared" si="32"/>
        <v>6.2121844544513725E-4</v>
      </c>
      <c r="CD12" s="265">
        <f t="shared" si="33"/>
        <v>3.8519736842105261</v>
      </c>
      <c r="CE12" s="269">
        <f t="shared" si="34"/>
        <v>0.74581313810572547</v>
      </c>
      <c r="CF12" s="267">
        <f t="shared" si="35"/>
        <v>0.65561478557194419</v>
      </c>
      <c r="CG12" s="267">
        <f t="shared" si="36"/>
        <v>0.59072142959795226</v>
      </c>
      <c r="CH12" s="268">
        <f t="shared" si="37"/>
        <v>4065.2542105263151</v>
      </c>
      <c r="CI12" s="264">
        <f t="shared" si="38"/>
        <v>0.22641787425648752</v>
      </c>
      <c r="CJ12" s="270">
        <f t="shared" si="39"/>
        <v>0.19903498409447359</v>
      </c>
      <c r="CK12" s="270">
        <f t="shared" si="40"/>
        <v>0.1793343178520965</v>
      </c>
      <c r="CL12" s="271">
        <f t="shared" si="41"/>
        <v>1234.1512499999999</v>
      </c>
      <c r="CM12" s="269">
        <f t="shared" si="42"/>
        <v>1.8421970251172971E-2</v>
      </c>
      <c r="CN12" s="267">
        <f t="shared" si="43"/>
        <v>1.619402429234678E-2</v>
      </c>
      <c r="CO12" s="267">
        <f t="shared" si="44"/>
        <v>1.4591124836475048E-2</v>
      </c>
      <c r="CP12" s="268">
        <f t="shared" si="45"/>
        <v>100.41388157894737</v>
      </c>
      <c r="CQ12" s="264">
        <f t="shared" si="46"/>
        <v>4.8276830147177485E-2</v>
      </c>
      <c r="CR12" s="270">
        <f t="shared" si="47"/>
        <v>4.2438248976713701E-2</v>
      </c>
      <c r="CS12" s="270">
        <f t="shared" si="48"/>
        <v>3.8237671963557596E-2</v>
      </c>
      <c r="CT12" s="265">
        <f t="shared" si="49"/>
        <v>263.14578947368426</v>
      </c>
      <c r="CU12" s="269">
        <f t="shared" si="50"/>
        <v>1.0237121955417436</v>
      </c>
      <c r="CV12" s="267">
        <f t="shared" si="51"/>
        <v>0.89990483845880109</v>
      </c>
      <c r="CW12" s="267">
        <f t="shared" si="52"/>
        <v>0.8108314278067219</v>
      </c>
      <c r="CX12" s="268">
        <f t="shared" si="53"/>
        <v>5580.0174342105265</v>
      </c>
      <c r="CY12" s="264">
        <f t="shared" si="54"/>
        <v>1.7775260293485938E-2</v>
      </c>
      <c r="CZ12" s="270">
        <f t="shared" si="55"/>
        <v>1.4078898098675265E-2</v>
      </c>
      <c r="DA12" s="265">
        <f t="shared" si="56"/>
        <v>96.888815789473682</v>
      </c>
      <c r="DB12" s="269">
        <f t="shared" si="57"/>
        <v>1.2401525458852378E-3</v>
      </c>
      <c r="DC12" s="268">
        <f t="shared" si="58"/>
        <v>8.5345394736842106</v>
      </c>
      <c r="DD12" s="264">
        <f t="shared" si="59"/>
        <v>1.4534263461436565E-2</v>
      </c>
      <c r="DE12" s="270">
        <f t="shared" si="60"/>
        <v>1.1511865977448084E-2</v>
      </c>
      <c r="DF12" s="265">
        <f t="shared" si="61"/>
        <v>79.222894736842093</v>
      </c>
      <c r="DG12" s="269">
        <f t="shared" si="62"/>
        <v>4.1536640118418856E-3</v>
      </c>
      <c r="DH12" s="267">
        <f t="shared" si="63"/>
        <v>3.2899103244236191E-3</v>
      </c>
      <c r="DI12" s="272">
        <f t="shared" si="64"/>
        <v>22.640657894736844</v>
      </c>
      <c r="DJ12" s="264">
        <f t="shared" si="65"/>
        <v>1.2196700440679109E-2</v>
      </c>
      <c r="DK12" s="270">
        <f t="shared" si="66"/>
        <v>1.0721636205565906E-2</v>
      </c>
      <c r="DL12" s="270">
        <f t="shared" si="67"/>
        <v>9.6603987682429213E-3</v>
      </c>
      <c r="DM12" s="265">
        <f t="shared" si="68"/>
        <v>66.481381578947364</v>
      </c>
      <c r="DN12" s="269">
        <f t="shared" si="69"/>
        <v>8.5154831519992299E-3</v>
      </c>
      <c r="DO12" s="267">
        <f t="shared" si="70"/>
        <v>6.7446899555062235E-3</v>
      </c>
      <c r="DP12" s="268">
        <f t="shared" si="71"/>
        <v>46.415921052631582</v>
      </c>
      <c r="DQ12" s="264">
        <f t="shared" si="72"/>
        <v>5.4314897937482738E-2</v>
      </c>
      <c r="DR12" s="270">
        <f t="shared" si="73"/>
        <v>4.3020124638174922E-2</v>
      </c>
      <c r="DS12" s="265">
        <f t="shared" si="74"/>
        <v>296.05789473684212</v>
      </c>
      <c r="DT12" s="269">
        <f t="shared" si="75"/>
        <v>3.7123986775772298E-2</v>
      </c>
      <c r="DU12" s="268">
        <f t="shared" si="76"/>
        <v>255.4815789473684</v>
      </c>
      <c r="DV12" s="264">
        <f t="shared" si="2"/>
        <v>1.2898074029951434E-2</v>
      </c>
      <c r="DW12" s="265">
        <f t="shared" si="3"/>
        <v>88.762565789473683</v>
      </c>
      <c r="DX12" s="264">
        <f t="shared" si="77"/>
        <v>1.6897667844232953E-5</v>
      </c>
      <c r="DY12" s="270">
        <f t="shared" si="78"/>
        <v>1.4854070429089532E-5</v>
      </c>
      <c r="DZ12" s="270">
        <f t="shared" si="79"/>
        <v>1.3383800842083893E-5</v>
      </c>
      <c r="EA12" s="265">
        <f t="shared" si="80"/>
        <v>9.2105263157894732E-2</v>
      </c>
      <c r="EB12" s="273">
        <f>IFERROR(VLOOKUP(A12,'BARNET SCHS PUPIL PREMIUM Nos'!$E$31:$V$117,17,0),0)</f>
        <v>14</v>
      </c>
      <c r="EC12" s="258">
        <f>IFERROR(VLOOKUP(A12,CFR20212022_BenchMarkDataReport!$B$4:$CL$90,36,0),0)</f>
        <v>0</v>
      </c>
      <c r="ED12" s="258">
        <f>IFERROR(VLOOKUP(A12,CFR20212022_BenchMarkDataReport!$B$4:$CL$90,37,0),0)</f>
        <v>0</v>
      </c>
      <c r="EE12" s="258">
        <f>IFERROR(VLOOKUP(A12,CFR20212022_BenchMarkDataReport!$B$4:$CL$90,38,0),0)</f>
        <v>6141.88</v>
      </c>
      <c r="EF12" s="258">
        <f>IFERROR(VLOOKUP(A12,CFR20212022_BenchMarkDataReport!$B$4:$CL$90,39,0),0)</f>
        <v>57971.17</v>
      </c>
      <c r="EG12" s="227"/>
    </row>
    <row r="13" spans="1:230" s="5" customFormat="1">
      <c r="A13" s="293">
        <v>3514</v>
      </c>
      <c r="B13" s="294">
        <v>10117</v>
      </c>
      <c r="C13" s="293" t="s">
        <v>35</v>
      </c>
      <c r="D13" s="258">
        <f>IFERROR(VLOOKUP(A13,CFR20212022_BenchMarkDataReport!$B$4:$CL$90,19,0),0)</f>
        <v>1024994.39</v>
      </c>
      <c r="E13" s="258">
        <f>IFERROR(VLOOKUP(A13,CFR20212022_BenchMarkDataReport!$B$4:$CL$90,20,0),0)</f>
        <v>0</v>
      </c>
      <c r="F13" s="258">
        <f>IFERROR(VLOOKUP(A13,CFR20212022_BenchMarkDataReport!$B$4:$CL$90,21,0),0)</f>
        <v>18477.080000000002</v>
      </c>
      <c r="G13" s="258">
        <f>IFERROR(VLOOKUP(A13,CFR20212022_BenchMarkDataReport!$B$4:$CL$90,22,0),0)</f>
        <v>0</v>
      </c>
      <c r="H13" s="258">
        <f>IFERROR(VLOOKUP(A13,CFR20212022_BenchMarkDataReport!$B$4:$CL$90,23,0),0)</f>
        <v>69940.02</v>
      </c>
      <c r="I13" s="258">
        <f>IFERROR(VLOOKUP(A13,CFR20212022_BenchMarkDataReport!$B$4:$CL$90,24,0),0)</f>
        <v>0</v>
      </c>
      <c r="J13" s="258">
        <f>IFERROR(VLOOKUP(A13,CFR20212022_BenchMarkDataReport!$B$4:$CL$90,25,0),0)</f>
        <v>0</v>
      </c>
      <c r="K13" s="258">
        <f>IFERROR(VLOOKUP(A13,CFR20212022_BenchMarkDataReport!$B$4:$CL$90,26,0),0)</f>
        <v>8492</v>
      </c>
      <c r="L13" s="258">
        <f>IFERROR(VLOOKUP(A13,CFR20212022_BenchMarkDataReport!$B$4:$CL$90,27,0),0)</f>
        <v>0</v>
      </c>
      <c r="M13" s="258">
        <f>IFERROR(VLOOKUP(A13,CFR20212022_BenchMarkDataReport!$B$4:$CL$90,28,0),0)</f>
        <v>19033.2</v>
      </c>
      <c r="N13" s="258">
        <f>IFERROR(VLOOKUP(A13,CFR20212022_BenchMarkDataReport!$B$4:$CL$90,29,0),0)</f>
        <v>0</v>
      </c>
      <c r="O13" s="258">
        <f>IFERROR(VLOOKUP(A13,CFR20212022_BenchMarkDataReport!$B$4:$CL$90,30,0),0)</f>
        <v>0</v>
      </c>
      <c r="P13" s="258">
        <f>IFERROR(VLOOKUP(A13,CFR20212022_BenchMarkDataReport!$B$4:$CL$90,31,0),0)</f>
        <v>33882.53</v>
      </c>
      <c r="Q13" s="258">
        <f>IFERROR(VLOOKUP(A13,CFR20212022_BenchMarkDataReport!$B$4:$CL$90,32,0),0)</f>
        <v>6796.48</v>
      </c>
      <c r="R13" s="258">
        <f>IFERROR(VLOOKUP(A13,CFR20212022_BenchMarkDataReport!$B$4:$CL$90,33,0),0)</f>
        <v>0</v>
      </c>
      <c r="S13" s="258">
        <f>IFERROR(VLOOKUP(A13,CFR20212022_BenchMarkDataReport!$B$4:$CL$90,34,0),0)</f>
        <v>0</v>
      </c>
      <c r="T13" s="258">
        <f>IFERROR(VLOOKUP(A13,CFR20212022_BenchMarkDataReport!$B$4:$CL$90,35,0),0)</f>
        <v>0</v>
      </c>
      <c r="U13" s="258">
        <f t="shared" si="0"/>
        <v>46366.68</v>
      </c>
      <c r="V13" s="258">
        <f>IFERROR(VLOOKUP(A13,CFR20212022_BenchMarkDataReport!$B$4:$CL$90,40,0),0)</f>
        <v>682241.22</v>
      </c>
      <c r="W13" s="258">
        <f>IFERROR(VLOOKUP(A13,CFR20212022_BenchMarkDataReport!$B$4:$CL$90,41,0),0)</f>
        <v>3260.46</v>
      </c>
      <c r="X13" s="258">
        <f>IFERROR(VLOOKUP(A13,CFR20212022_BenchMarkDataReport!$B$4:$CL$90,42,0),0)</f>
        <v>123322.75</v>
      </c>
      <c r="Y13" s="258">
        <f>IFERROR(VLOOKUP(A13,CFR20212022_BenchMarkDataReport!$B$4:$CL$90,43,0),0)</f>
        <v>53335.360000000001</v>
      </c>
      <c r="Z13" s="258">
        <f>IFERROR(VLOOKUP(A13,CFR20212022_BenchMarkDataReport!$B$4:$CL$90,44,0),0)</f>
        <v>39887.35</v>
      </c>
      <c r="AA13" s="258">
        <f>IFERROR(VLOOKUP(A13,CFR20212022_BenchMarkDataReport!$B$4:$CL$90,45,0),0)</f>
        <v>0</v>
      </c>
      <c r="AB13" s="258">
        <f>IFERROR(VLOOKUP(A13,CFR20212022_BenchMarkDataReport!$B$4:$CL$90,46,0),0)</f>
        <v>3343.8</v>
      </c>
      <c r="AC13" s="258">
        <f>IFERROR(VLOOKUP(A13,CFR20212022_BenchMarkDataReport!$B$4:$CL$90,47,0),0)</f>
        <v>1917.49</v>
      </c>
      <c r="AD13" s="258">
        <f>IFERROR(VLOOKUP(A13,CFR20212022_BenchMarkDataReport!$B$4:$CL$90,48,0),0)</f>
        <v>2837.05</v>
      </c>
      <c r="AE13" s="258">
        <f>IFERROR(VLOOKUP(A13,CFR20212022_BenchMarkDataReport!$B$4:$CL$90,49,0),0)</f>
        <v>339.48</v>
      </c>
      <c r="AF13" s="258">
        <f>IFERROR(VLOOKUP(A13,CFR20212022_BenchMarkDataReport!$B$4:$CL$90,50,0),0)</f>
        <v>0</v>
      </c>
      <c r="AG13" s="258">
        <f>IFERROR(VLOOKUP(A13,CFR20212022_BenchMarkDataReport!$B$4:$CL$90,51,0),0)</f>
        <v>9736.7199999999993</v>
      </c>
      <c r="AH13" s="258">
        <f>IFERROR(VLOOKUP(A13,CFR20212022_BenchMarkDataReport!$B$4:$CL$90,52,0),0)</f>
        <v>5199.6899999999996</v>
      </c>
      <c r="AI13" s="258">
        <f>IFERROR(VLOOKUP(A13,CFR20212022_BenchMarkDataReport!$B$4:$CL$90,53,0),0)</f>
        <v>8441.6200000000008</v>
      </c>
      <c r="AJ13" s="258">
        <f>IFERROR(VLOOKUP(A13,CFR20212022_BenchMarkDataReport!$B$4:$CL$90,54,0),0)</f>
        <v>860.7</v>
      </c>
      <c r="AK13" s="258">
        <f>IFERROR(VLOOKUP(A13,CFR20212022_BenchMarkDataReport!$B$4:$CL$90,55,0),0)</f>
        <v>8026.96</v>
      </c>
      <c r="AL13" s="258">
        <f>IFERROR(VLOOKUP(A13,CFR20212022_BenchMarkDataReport!$B$4:$CL$90,56,0),0)</f>
        <v>8857.6</v>
      </c>
      <c r="AM13" s="258">
        <f>IFERROR(VLOOKUP(A13,CFR20212022_BenchMarkDataReport!$B$4:$CL$90,57,0),0)</f>
        <v>6315.17</v>
      </c>
      <c r="AN13" s="258">
        <f>IFERROR(VLOOKUP(A13,CFR20212022_BenchMarkDataReport!$B$4:$CL$90,58,0),0)</f>
        <v>55757.03</v>
      </c>
      <c r="AO13" s="258">
        <f>IFERROR(VLOOKUP(A13,CFR20212022_BenchMarkDataReport!$B$4:$CL$90,59,0),0)</f>
        <v>11764.18</v>
      </c>
      <c r="AP13" s="258">
        <f>IFERROR(VLOOKUP(A13,CFR20212022_BenchMarkDataReport!$B$4:$CL$90,60,0),0)</f>
        <v>0</v>
      </c>
      <c r="AQ13" s="258">
        <f>IFERROR(VLOOKUP(A13,CFR20212022_BenchMarkDataReport!$B$4:$CL$90,61,0),0)</f>
        <v>14051.86</v>
      </c>
      <c r="AR13" s="258">
        <f>IFERROR(VLOOKUP(A13,CFR20212022_BenchMarkDataReport!$B$4:$CL$90,62,0),0)</f>
        <v>11009.13</v>
      </c>
      <c r="AS13" s="258">
        <f>IFERROR(VLOOKUP(A13,CFR20212022_BenchMarkDataReport!$B$4:$CL$90,63,0),0)</f>
        <v>7459.5</v>
      </c>
      <c r="AT13" s="258">
        <f>IFERROR(VLOOKUP(A13,CFR20212022_BenchMarkDataReport!$B$4:$CL$90,64,0),0)</f>
        <v>27575.73</v>
      </c>
      <c r="AU13" s="258">
        <f>IFERROR(VLOOKUP(A13,CFR20212022_BenchMarkDataReport!$B$4:$CL$90,65,0),0)</f>
        <v>23140.5</v>
      </c>
      <c r="AV13" s="258">
        <f>IFERROR(VLOOKUP(A13,CFR20212022_BenchMarkDataReport!$B$4:$CL$90,66,0),0)</f>
        <v>91219.25</v>
      </c>
      <c r="AW13" s="258">
        <f>IFERROR(VLOOKUP(A13,CFR20212022_BenchMarkDataReport!$B$4:$CL$90,67,0),0)</f>
        <v>36172.230000000003</v>
      </c>
      <c r="AX13" s="258">
        <f>IFERROR(VLOOKUP(A13,CFR20212022_BenchMarkDataReport!$B$4:$CL$90,68,0),0)</f>
        <v>0</v>
      </c>
      <c r="AY13" s="258">
        <f>IFERROR(VLOOKUP(A13,CFR20212022_BenchMarkDataReport!$B$4:$CL$90,69,0),0)</f>
        <v>0</v>
      </c>
      <c r="AZ13" s="258">
        <f>IFERROR(VLOOKUP(A13,CFR20212022_BenchMarkDataReport!$B$4:$CL$90,70,0),0)</f>
        <v>0</v>
      </c>
      <c r="BA13" s="258">
        <f>IFERROR(VLOOKUP(A13,CFR20212022_BenchMarkDataReport!$B$4:$CL$90,71,0),0)</f>
        <v>0</v>
      </c>
      <c r="BB13" s="258">
        <f>IFERROR(VLOOKUP(A13,CFR20212022_BenchMarkDataReport!$B$4:$CL$90,72,0),0)</f>
        <v>0</v>
      </c>
      <c r="BC13" s="259">
        <f t="shared" si="10"/>
        <v>1227982.3799999999</v>
      </c>
      <c r="BD13" s="260">
        <f t="shared" si="11"/>
        <v>1236072.8299999998</v>
      </c>
      <c r="BE13" s="296">
        <f t="shared" si="12"/>
        <v>-8090.4499999999534</v>
      </c>
      <c r="BF13" s="258">
        <f>IFERROR(VLOOKUP(A13,CFR20212022_BenchMarkDataReport!$B$4:$CL$90,16,0),0)</f>
        <v>78573.2</v>
      </c>
      <c r="BG13" s="296">
        <f t="shared" si="13"/>
        <v>70482.750000000044</v>
      </c>
      <c r="BH13" s="261">
        <f>IFERROR(VLOOKUP(A13,'Pupil Nos BenchmarkData 21-22'!$A$6:$E$94,5,0),0)</f>
        <v>187</v>
      </c>
      <c r="BI13" s="260">
        <f t="shared" si="1"/>
        <v>1043471.47</v>
      </c>
      <c r="BJ13" s="227" t="s">
        <v>183</v>
      </c>
      <c r="BK13" s="262">
        <f t="shared" si="14"/>
        <v>0.83469796203427615</v>
      </c>
      <c r="BL13" s="263">
        <f t="shared" si="15"/>
        <v>5481.253422459893</v>
      </c>
      <c r="BM13" s="264">
        <f t="shared" si="16"/>
        <v>0</v>
      </c>
      <c r="BN13" s="265">
        <f t="shared" si="17"/>
        <v>0</v>
      </c>
      <c r="BO13" s="262">
        <f t="shared" si="18"/>
        <v>1.5046697982751189E-2</v>
      </c>
      <c r="BP13" s="263">
        <f t="shared" si="19"/>
        <v>98.807914438502678</v>
      </c>
      <c r="BQ13" s="264">
        <f t="shared" si="20"/>
        <v>0</v>
      </c>
      <c r="BR13" s="265">
        <f t="shared" si="21"/>
        <v>0</v>
      </c>
      <c r="BS13" s="262">
        <f t="shared" si="22"/>
        <v>5.6955230904860384E-2</v>
      </c>
      <c r="BT13" s="263">
        <f t="shared" si="23"/>
        <v>374.01080213903748</v>
      </c>
      <c r="BU13" s="264">
        <f t="shared" si="24"/>
        <v>0</v>
      </c>
      <c r="BV13" s="265">
        <f t="shared" si="25"/>
        <v>0</v>
      </c>
      <c r="BW13" s="262">
        <f t="shared" si="26"/>
        <v>0</v>
      </c>
      <c r="BX13" s="263">
        <f t="shared" si="27"/>
        <v>0</v>
      </c>
      <c r="BY13" s="264">
        <f t="shared" si="28"/>
        <v>6.915408672231926E-3</v>
      </c>
      <c r="BZ13" s="266">
        <f t="shared" si="29"/>
        <v>45.411764705882355</v>
      </c>
      <c r="CA13" s="267">
        <f t="shared" si="30"/>
        <v>2.7592032713042676E-2</v>
      </c>
      <c r="CB13" s="268">
        <f t="shared" si="31"/>
        <v>181.19</v>
      </c>
      <c r="CC13" s="264">
        <f t="shared" si="32"/>
        <v>5.5346722483102734E-3</v>
      </c>
      <c r="CD13" s="265">
        <f t="shared" si="33"/>
        <v>36.344812834224598</v>
      </c>
      <c r="CE13" s="269">
        <f t="shared" si="34"/>
        <v>0.67911984215533938</v>
      </c>
      <c r="CF13" s="267">
        <f t="shared" si="35"/>
        <v>0.57707845938310609</v>
      </c>
      <c r="CG13" s="267">
        <f t="shared" si="36"/>
        <v>0.57330131591032552</v>
      </c>
      <c r="CH13" s="268">
        <f t="shared" si="37"/>
        <v>3789.5303743315503</v>
      </c>
      <c r="CI13" s="264">
        <f t="shared" si="38"/>
        <v>0.11818507122192809</v>
      </c>
      <c r="CJ13" s="270">
        <f t="shared" si="39"/>
        <v>0.10042713316456545</v>
      </c>
      <c r="CK13" s="270">
        <f t="shared" si="40"/>
        <v>9.9769808871213533E-2</v>
      </c>
      <c r="CL13" s="271">
        <f t="shared" si="41"/>
        <v>659.47994652406419</v>
      </c>
      <c r="CM13" s="269">
        <f t="shared" si="42"/>
        <v>5.1113385974989808E-2</v>
      </c>
      <c r="CN13" s="267">
        <f t="shared" si="43"/>
        <v>4.3433326787636811E-2</v>
      </c>
      <c r="CO13" s="267">
        <f t="shared" si="44"/>
        <v>4.3149043248527683E-2</v>
      </c>
      <c r="CP13" s="268">
        <f t="shared" si="45"/>
        <v>285.21582887700538</v>
      </c>
      <c r="CQ13" s="264">
        <f t="shared" si="46"/>
        <v>3.8225625852520914E-2</v>
      </c>
      <c r="CR13" s="270">
        <f t="shared" si="47"/>
        <v>3.2482021443988471E-2</v>
      </c>
      <c r="CS13" s="270">
        <f t="shared" si="48"/>
        <v>3.2269417328750771E-2</v>
      </c>
      <c r="CT13" s="265">
        <f t="shared" si="49"/>
        <v>213.3013368983957</v>
      </c>
      <c r="CU13" s="269">
        <f t="shared" si="50"/>
        <v>0.86767196423683723</v>
      </c>
      <c r="CV13" s="267">
        <f t="shared" si="51"/>
        <v>0.73729961825673751</v>
      </c>
      <c r="CW13" s="267">
        <f t="shared" si="52"/>
        <v>0.73247378150039921</v>
      </c>
      <c r="CX13" s="268">
        <f t="shared" si="53"/>
        <v>4841.662780748663</v>
      </c>
      <c r="CY13" s="264">
        <f t="shared" si="54"/>
        <v>9.3310840592508004E-3</v>
      </c>
      <c r="CZ13" s="270">
        <f t="shared" si="55"/>
        <v>7.8771410257436041E-3</v>
      </c>
      <c r="DA13" s="265">
        <f t="shared" si="56"/>
        <v>52.068021390374327</v>
      </c>
      <c r="DB13" s="269">
        <f t="shared" si="57"/>
        <v>6.9631819348379346E-4</v>
      </c>
      <c r="DC13" s="268">
        <f t="shared" si="58"/>
        <v>4.6026737967914437</v>
      </c>
      <c r="DD13" s="264">
        <f t="shared" si="59"/>
        <v>7.6925533958297878E-3</v>
      </c>
      <c r="DE13" s="270">
        <f t="shared" si="60"/>
        <v>6.4939215596220177E-3</v>
      </c>
      <c r="DF13" s="265">
        <f t="shared" si="61"/>
        <v>42.924919786096254</v>
      </c>
      <c r="DG13" s="269">
        <f t="shared" si="62"/>
        <v>6.0520773030814153E-3</v>
      </c>
      <c r="DH13" s="267">
        <f t="shared" si="63"/>
        <v>5.1090597954491085E-3</v>
      </c>
      <c r="DI13" s="272">
        <f t="shared" si="64"/>
        <v>33.770962566844922</v>
      </c>
      <c r="DJ13" s="264">
        <f t="shared" si="65"/>
        <v>5.3434168161780218E-2</v>
      </c>
      <c r="DK13" s="270">
        <f t="shared" si="66"/>
        <v>4.5405399057924595E-2</v>
      </c>
      <c r="DL13" s="270">
        <f t="shared" si="67"/>
        <v>4.5108207742095591E-2</v>
      </c>
      <c r="DM13" s="265">
        <f t="shared" si="68"/>
        <v>298.16593582887702</v>
      </c>
      <c r="DN13" s="269">
        <f t="shared" si="69"/>
        <v>1.3466453471890325E-2</v>
      </c>
      <c r="DO13" s="267">
        <f t="shared" si="70"/>
        <v>1.1368148914008572E-2</v>
      </c>
      <c r="DP13" s="268">
        <f t="shared" si="71"/>
        <v>75.143636363636361</v>
      </c>
      <c r="DQ13" s="264">
        <f t="shared" si="72"/>
        <v>8.7419016832343294E-2</v>
      </c>
      <c r="DR13" s="270">
        <f t="shared" si="73"/>
        <v>7.3797633752697253E-2</v>
      </c>
      <c r="DS13" s="265">
        <f t="shared" si="74"/>
        <v>487.80347593582889</v>
      </c>
      <c r="DT13" s="269">
        <f t="shared" si="75"/>
        <v>2.2309146622048154E-2</v>
      </c>
      <c r="DU13" s="268">
        <f t="shared" si="76"/>
        <v>147.46379679144385</v>
      </c>
      <c r="DV13" s="264">
        <f t="shared" si="2"/>
        <v>6.8293872295534571E-3</v>
      </c>
      <c r="DW13" s="265">
        <f t="shared" si="3"/>
        <v>45.142352941176476</v>
      </c>
      <c r="DX13" s="264">
        <f t="shared" si="77"/>
        <v>4.9833657646624497E-5</v>
      </c>
      <c r="DY13" s="270">
        <f t="shared" si="78"/>
        <v>4.2345884474335862E-5</v>
      </c>
      <c r="DZ13" s="270">
        <f t="shared" si="79"/>
        <v>4.2068718556009362E-5</v>
      </c>
      <c r="EA13" s="265">
        <f t="shared" si="80"/>
        <v>0.27807486631016043</v>
      </c>
      <c r="EB13" s="273">
        <f>IFERROR(VLOOKUP(A13,'BARNET SCHS PUPIL PREMIUM Nos'!$E$31:$V$117,17,0),0)</f>
        <v>52</v>
      </c>
      <c r="EC13" s="258">
        <f>IFERROR(VLOOKUP(A13,CFR20212022_BenchMarkDataReport!$B$4:$CL$90,36,0),0)</f>
        <v>0</v>
      </c>
      <c r="ED13" s="258">
        <f>IFERROR(VLOOKUP(A13,CFR20212022_BenchMarkDataReport!$B$4:$CL$90,37,0),0)</f>
        <v>37434.04</v>
      </c>
      <c r="EE13" s="258">
        <f>IFERROR(VLOOKUP(A13,CFR20212022_BenchMarkDataReport!$B$4:$CL$90,38,0),0)</f>
        <v>8932.64</v>
      </c>
      <c r="EF13" s="258">
        <f>IFERROR(VLOOKUP(A13,CFR20212022_BenchMarkDataReport!$B$4:$CL$90,39,0),0)</f>
        <v>0</v>
      </c>
      <c r="EG13" s="227"/>
    </row>
    <row r="14" spans="1:230" s="5" customFormat="1">
      <c r="A14" s="293">
        <v>2002</v>
      </c>
      <c r="B14" s="294">
        <v>10044</v>
      </c>
      <c r="C14" s="293" t="s">
        <v>36</v>
      </c>
      <c r="D14" s="258">
        <f>IFERROR(VLOOKUP(A14,CFR20212022_BenchMarkDataReport!$B$4:$CL$90,19,0),0)</f>
        <v>2329203.09</v>
      </c>
      <c r="E14" s="258">
        <f>IFERROR(VLOOKUP(A14,CFR20212022_BenchMarkDataReport!$B$4:$CL$90,20,0),0)</f>
        <v>0</v>
      </c>
      <c r="F14" s="258">
        <f>IFERROR(VLOOKUP(A14,CFR20212022_BenchMarkDataReport!$B$4:$CL$90,21,0),0)</f>
        <v>85020.36</v>
      </c>
      <c r="G14" s="258">
        <f>IFERROR(VLOOKUP(A14,CFR20212022_BenchMarkDataReport!$B$4:$CL$90,22,0),0)</f>
        <v>0</v>
      </c>
      <c r="H14" s="258">
        <f>IFERROR(VLOOKUP(A14,CFR20212022_BenchMarkDataReport!$B$4:$CL$90,23,0),0)</f>
        <v>162725.03</v>
      </c>
      <c r="I14" s="258">
        <f>IFERROR(VLOOKUP(A14,CFR20212022_BenchMarkDataReport!$B$4:$CL$90,24,0),0)</f>
        <v>1845</v>
      </c>
      <c r="J14" s="258">
        <f>IFERROR(VLOOKUP(A14,CFR20212022_BenchMarkDataReport!$B$4:$CL$90,25,0),0)</f>
        <v>0</v>
      </c>
      <c r="K14" s="258">
        <f>IFERROR(VLOOKUP(A14,CFR20212022_BenchMarkDataReport!$B$4:$CL$90,26,0),0)</f>
        <v>7953.5</v>
      </c>
      <c r="L14" s="258">
        <f>IFERROR(VLOOKUP(A14,CFR20212022_BenchMarkDataReport!$B$4:$CL$90,27,0),0)</f>
        <v>15541.26</v>
      </c>
      <c r="M14" s="258">
        <f>IFERROR(VLOOKUP(A14,CFR20212022_BenchMarkDataReport!$B$4:$CL$90,28,0),0)</f>
        <v>25000.45</v>
      </c>
      <c r="N14" s="258">
        <f>IFERROR(VLOOKUP(A14,CFR20212022_BenchMarkDataReport!$B$4:$CL$90,29,0),0)</f>
        <v>22588.5</v>
      </c>
      <c r="O14" s="258">
        <f>IFERROR(VLOOKUP(A14,CFR20212022_BenchMarkDataReport!$B$4:$CL$90,30,0),0)</f>
        <v>1000</v>
      </c>
      <c r="P14" s="258">
        <f>IFERROR(VLOOKUP(A14,CFR20212022_BenchMarkDataReport!$B$4:$CL$90,31,0),0)</f>
        <v>7795.54</v>
      </c>
      <c r="Q14" s="258">
        <f>IFERROR(VLOOKUP(A14,CFR20212022_BenchMarkDataReport!$B$4:$CL$90,32,0),0)</f>
        <v>977.06</v>
      </c>
      <c r="R14" s="258">
        <f>IFERROR(VLOOKUP(A14,CFR20212022_BenchMarkDataReport!$B$4:$CL$90,33,0),0)</f>
        <v>0</v>
      </c>
      <c r="S14" s="258">
        <f>IFERROR(VLOOKUP(A14,CFR20212022_BenchMarkDataReport!$B$4:$CL$90,34,0),0)</f>
        <v>0</v>
      </c>
      <c r="T14" s="258">
        <f>IFERROR(VLOOKUP(A14,CFR20212022_BenchMarkDataReport!$B$4:$CL$90,35,0),0)</f>
        <v>0</v>
      </c>
      <c r="U14" s="258">
        <f t="shared" si="0"/>
        <v>105472.42</v>
      </c>
      <c r="V14" s="258">
        <f>IFERROR(VLOOKUP(A14,CFR20212022_BenchMarkDataReport!$B$4:$CL$90,40,0),0)</f>
        <v>1236138.18</v>
      </c>
      <c r="W14" s="258">
        <f>IFERROR(VLOOKUP(A14,CFR20212022_BenchMarkDataReport!$B$4:$CL$90,41,0),0)</f>
        <v>0</v>
      </c>
      <c r="X14" s="258">
        <f>IFERROR(VLOOKUP(A14,CFR20212022_BenchMarkDataReport!$B$4:$CL$90,42,0),0)</f>
        <v>640141.16</v>
      </c>
      <c r="Y14" s="258">
        <f>IFERROR(VLOOKUP(A14,CFR20212022_BenchMarkDataReport!$B$4:$CL$90,43,0),0)</f>
        <v>56135.88</v>
      </c>
      <c r="Z14" s="258">
        <f>IFERROR(VLOOKUP(A14,CFR20212022_BenchMarkDataReport!$B$4:$CL$90,44,0),0)</f>
        <v>112581.17</v>
      </c>
      <c r="AA14" s="258">
        <f>IFERROR(VLOOKUP(A14,CFR20212022_BenchMarkDataReport!$B$4:$CL$90,45,0),0)</f>
        <v>0</v>
      </c>
      <c r="AB14" s="258">
        <f>IFERROR(VLOOKUP(A14,CFR20212022_BenchMarkDataReport!$B$4:$CL$90,46,0),0)</f>
        <v>62879.17</v>
      </c>
      <c r="AC14" s="258">
        <f>IFERROR(VLOOKUP(A14,CFR20212022_BenchMarkDataReport!$B$4:$CL$90,47,0),0)</f>
        <v>86435.01</v>
      </c>
      <c r="AD14" s="258">
        <f>IFERROR(VLOOKUP(A14,CFR20212022_BenchMarkDataReport!$B$4:$CL$90,48,0),0)</f>
        <v>7308.82</v>
      </c>
      <c r="AE14" s="258">
        <f>IFERROR(VLOOKUP(A14,CFR20212022_BenchMarkDataReport!$B$4:$CL$90,49,0),0)</f>
        <v>15765.83</v>
      </c>
      <c r="AF14" s="258">
        <f>IFERROR(VLOOKUP(A14,CFR20212022_BenchMarkDataReport!$B$4:$CL$90,50,0),0)</f>
        <v>0</v>
      </c>
      <c r="AG14" s="258">
        <f>IFERROR(VLOOKUP(A14,CFR20212022_BenchMarkDataReport!$B$4:$CL$90,51,0),0)</f>
        <v>28607.37</v>
      </c>
      <c r="AH14" s="258">
        <f>IFERROR(VLOOKUP(A14,CFR20212022_BenchMarkDataReport!$B$4:$CL$90,52,0),0)</f>
        <v>0</v>
      </c>
      <c r="AI14" s="258">
        <f>IFERROR(VLOOKUP(A14,CFR20212022_BenchMarkDataReport!$B$4:$CL$90,53,0),0)</f>
        <v>51425.52</v>
      </c>
      <c r="AJ14" s="258">
        <f>IFERROR(VLOOKUP(A14,CFR20212022_BenchMarkDataReport!$B$4:$CL$90,54,0),0)</f>
        <v>10339.120000000001</v>
      </c>
      <c r="AK14" s="258">
        <f>IFERROR(VLOOKUP(A14,CFR20212022_BenchMarkDataReport!$B$4:$CL$90,55,0),0)</f>
        <v>46917.88</v>
      </c>
      <c r="AL14" s="258">
        <f>IFERROR(VLOOKUP(A14,CFR20212022_BenchMarkDataReport!$B$4:$CL$90,56,0),0)</f>
        <v>30976</v>
      </c>
      <c r="AM14" s="258">
        <f>IFERROR(VLOOKUP(A14,CFR20212022_BenchMarkDataReport!$B$4:$CL$90,57,0),0)</f>
        <v>11018</v>
      </c>
      <c r="AN14" s="258">
        <f>IFERROR(VLOOKUP(A14,CFR20212022_BenchMarkDataReport!$B$4:$CL$90,58,0),0)</f>
        <v>47949.36</v>
      </c>
      <c r="AO14" s="258">
        <f>IFERROR(VLOOKUP(A14,CFR20212022_BenchMarkDataReport!$B$4:$CL$90,59,0),0)</f>
        <v>10060.969999999999</v>
      </c>
      <c r="AP14" s="258">
        <f>IFERROR(VLOOKUP(A14,CFR20212022_BenchMarkDataReport!$B$4:$CL$90,60,0),0)</f>
        <v>0</v>
      </c>
      <c r="AQ14" s="258">
        <f>IFERROR(VLOOKUP(A14,CFR20212022_BenchMarkDataReport!$B$4:$CL$90,61,0),0)</f>
        <v>20269</v>
      </c>
      <c r="AR14" s="258">
        <f>IFERROR(VLOOKUP(A14,CFR20212022_BenchMarkDataReport!$B$4:$CL$90,62,0),0)</f>
        <v>11984.05</v>
      </c>
      <c r="AS14" s="258">
        <f>IFERROR(VLOOKUP(A14,CFR20212022_BenchMarkDataReport!$B$4:$CL$90,63,0),0)</f>
        <v>13956.43</v>
      </c>
      <c r="AT14" s="258">
        <f>IFERROR(VLOOKUP(A14,CFR20212022_BenchMarkDataReport!$B$4:$CL$90,64,0),0)</f>
        <v>94365.32</v>
      </c>
      <c r="AU14" s="258">
        <f>IFERROR(VLOOKUP(A14,CFR20212022_BenchMarkDataReport!$B$4:$CL$90,65,0),0)</f>
        <v>63494.5</v>
      </c>
      <c r="AV14" s="258">
        <f>IFERROR(VLOOKUP(A14,CFR20212022_BenchMarkDataReport!$B$4:$CL$90,66,0),0)</f>
        <v>163903.51999999999</v>
      </c>
      <c r="AW14" s="258">
        <f>IFERROR(VLOOKUP(A14,CFR20212022_BenchMarkDataReport!$B$4:$CL$90,67,0),0)</f>
        <v>31492.2</v>
      </c>
      <c r="AX14" s="258">
        <f>IFERROR(VLOOKUP(A14,CFR20212022_BenchMarkDataReport!$B$4:$CL$90,68,0),0)</f>
        <v>0</v>
      </c>
      <c r="AY14" s="258">
        <f>IFERROR(VLOOKUP(A14,CFR20212022_BenchMarkDataReport!$B$4:$CL$90,69,0),0)</f>
        <v>0</v>
      </c>
      <c r="AZ14" s="258">
        <f>IFERROR(VLOOKUP(A14,CFR20212022_BenchMarkDataReport!$B$4:$CL$90,70,0),0)</f>
        <v>18757</v>
      </c>
      <c r="BA14" s="258">
        <f>IFERROR(VLOOKUP(A14,CFR20212022_BenchMarkDataReport!$B$4:$CL$90,71,0),0)</f>
        <v>0</v>
      </c>
      <c r="BB14" s="258">
        <f>IFERROR(VLOOKUP(A14,CFR20212022_BenchMarkDataReport!$B$4:$CL$90,72,0),0)</f>
        <v>0</v>
      </c>
      <c r="BC14" s="259">
        <f t="shared" si="10"/>
        <v>2765122.2099999995</v>
      </c>
      <c r="BD14" s="260">
        <f t="shared" si="11"/>
        <v>2872901.4599999995</v>
      </c>
      <c r="BE14" s="296">
        <f t="shared" si="12"/>
        <v>-107779.25</v>
      </c>
      <c r="BF14" s="258">
        <f>IFERROR(VLOOKUP(A14,CFR20212022_BenchMarkDataReport!$B$4:$CL$90,16,0),0)</f>
        <v>236234</v>
      </c>
      <c r="BG14" s="296">
        <f t="shared" si="13"/>
        <v>128454.75</v>
      </c>
      <c r="BH14" s="261">
        <f>IFERROR(VLOOKUP(A14,'Pupil Nos BenchmarkData 21-22'!$A$6:$E$94,5,0),0)</f>
        <v>431.5</v>
      </c>
      <c r="BI14" s="260">
        <f t="shared" si="1"/>
        <v>2414223.4499999997</v>
      </c>
      <c r="BJ14" s="227" t="s">
        <v>183</v>
      </c>
      <c r="BK14" s="262">
        <f t="shared" si="14"/>
        <v>0.84235086665482328</v>
      </c>
      <c r="BL14" s="263">
        <f t="shared" si="15"/>
        <v>5397.9214136732326</v>
      </c>
      <c r="BM14" s="264">
        <f t="shared" si="16"/>
        <v>0</v>
      </c>
      <c r="BN14" s="265">
        <f t="shared" si="17"/>
        <v>0</v>
      </c>
      <c r="BO14" s="262">
        <f t="shared" si="18"/>
        <v>3.0747414957836536E-2</v>
      </c>
      <c r="BP14" s="263">
        <f t="shared" si="19"/>
        <v>197.03443800695248</v>
      </c>
      <c r="BQ14" s="264">
        <f t="shared" si="20"/>
        <v>0</v>
      </c>
      <c r="BR14" s="265">
        <f t="shared" si="21"/>
        <v>0</v>
      </c>
      <c r="BS14" s="262">
        <f t="shared" si="22"/>
        <v>5.8849127684667518E-2</v>
      </c>
      <c r="BT14" s="263">
        <f t="shared" si="23"/>
        <v>377.11478563151798</v>
      </c>
      <c r="BU14" s="264">
        <f t="shared" si="24"/>
        <v>6.6723994813957979E-4</v>
      </c>
      <c r="BV14" s="265">
        <f t="shared" si="25"/>
        <v>4.2757821552723057</v>
      </c>
      <c r="BW14" s="262">
        <f t="shared" si="26"/>
        <v>0</v>
      </c>
      <c r="BX14" s="263">
        <f t="shared" si="27"/>
        <v>0</v>
      </c>
      <c r="BY14" s="264">
        <f t="shared" si="28"/>
        <v>8.4968251728736455E-3</v>
      </c>
      <c r="BZ14" s="266">
        <f t="shared" si="29"/>
        <v>54.449038238702208</v>
      </c>
      <c r="CA14" s="267">
        <f t="shared" si="30"/>
        <v>2.8192388646720978E-3</v>
      </c>
      <c r="CB14" s="268">
        <f t="shared" si="31"/>
        <v>18.06614136732329</v>
      </c>
      <c r="CC14" s="264">
        <f t="shared" si="32"/>
        <v>3.5335147085596632E-4</v>
      </c>
      <c r="CD14" s="265">
        <f t="shared" si="33"/>
        <v>2.2643337195828503</v>
      </c>
      <c r="CE14" s="269">
        <f t="shared" si="34"/>
        <v>0.53832327740831121</v>
      </c>
      <c r="CF14" s="267">
        <f t="shared" si="35"/>
        <v>0.47000912845729165</v>
      </c>
      <c r="CG14" s="267">
        <f t="shared" si="36"/>
        <v>0.45237635125849396</v>
      </c>
      <c r="CH14" s="268">
        <f t="shared" si="37"/>
        <v>3011.8949710312859</v>
      </c>
      <c r="CI14" s="264">
        <f t="shared" si="38"/>
        <v>0.26515406434313282</v>
      </c>
      <c r="CJ14" s="270">
        <f t="shared" si="39"/>
        <v>0.2315055579406019</v>
      </c>
      <c r="CK14" s="270">
        <f t="shared" si="40"/>
        <v>0.22282043742635022</v>
      </c>
      <c r="CL14" s="271">
        <f t="shared" si="41"/>
        <v>1483.5252838933952</v>
      </c>
      <c r="CM14" s="269">
        <f t="shared" si="42"/>
        <v>2.3252147600504834E-2</v>
      </c>
      <c r="CN14" s="267">
        <f t="shared" si="43"/>
        <v>2.0301410113804701E-2</v>
      </c>
      <c r="CO14" s="267">
        <f t="shared" si="44"/>
        <v>1.9539786094856175E-2</v>
      </c>
      <c r="CP14" s="268">
        <f t="shared" si="45"/>
        <v>130.0947392815759</v>
      </c>
      <c r="CQ14" s="264">
        <f t="shared" si="46"/>
        <v>4.6632456494447527E-2</v>
      </c>
      <c r="CR14" s="270">
        <f t="shared" si="47"/>
        <v>4.0714717632679254E-2</v>
      </c>
      <c r="CS14" s="270">
        <f t="shared" si="48"/>
        <v>3.9187271672032918E-2</v>
      </c>
      <c r="CT14" s="265">
        <f t="shared" si="49"/>
        <v>260.90653534183082</v>
      </c>
      <c r="CU14" s="269">
        <f t="shared" si="50"/>
        <v>0.87310706885893263</v>
      </c>
      <c r="CV14" s="267">
        <f t="shared" si="51"/>
        <v>0.76230828148460028</v>
      </c>
      <c r="CW14" s="267">
        <f t="shared" si="52"/>
        <v>0.73370966228685053</v>
      </c>
      <c r="CX14" s="268">
        <f t="shared" si="53"/>
        <v>4884.9955040556188</v>
      </c>
      <c r="CY14" s="264">
        <f t="shared" si="54"/>
        <v>1.1849512107091828E-2</v>
      </c>
      <c r="CZ14" s="270">
        <f t="shared" si="55"/>
        <v>9.9576579281629805E-3</v>
      </c>
      <c r="DA14" s="265">
        <f t="shared" si="56"/>
        <v>66.29749710312862</v>
      </c>
      <c r="DB14" s="269">
        <f t="shared" si="57"/>
        <v>3.598842544359319E-3</v>
      </c>
      <c r="DC14" s="268">
        <f t="shared" si="58"/>
        <v>23.960880648899192</v>
      </c>
      <c r="DD14" s="264">
        <f t="shared" si="59"/>
        <v>1.9433942620348584E-2</v>
      </c>
      <c r="DE14" s="270">
        <f t="shared" si="60"/>
        <v>1.6331183179530289E-2</v>
      </c>
      <c r="DF14" s="265">
        <f t="shared" si="61"/>
        <v>108.73205098493627</v>
      </c>
      <c r="DG14" s="269">
        <f t="shared" si="62"/>
        <v>4.5637863388328873E-3</v>
      </c>
      <c r="DH14" s="267">
        <f t="shared" si="63"/>
        <v>3.8351472034129572E-3</v>
      </c>
      <c r="DI14" s="272">
        <f t="shared" si="64"/>
        <v>25.534183082271149</v>
      </c>
      <c r="DJ14" s="264">
        <f t="shared" si="65"/>
        <v>1.9861193875819576E-2</v>
      </c>
      <c r="DK14" s="270">
        <f t="shared" si="66"/>
        <v>1.7340774243753954E-2</v>
      </c>
      <c r="DL14" s="270">
        <f t="shared" si="67"/>
        <v>1.6690220903016983E-2</v>
      </c>
      <c r="DM14" s="265">
        <f t="shared" si="68"/>
        <v>111.12250289687138</v>
      </c>
      <c r="DN14" s="269">
        <f t="shared" si="69"/>
        <v>8.3956603105648751E-3</v>
      </c>
      <c r="DO14" s="267">
        <f t="shared" si="70"/>
        <v>7.0552367640204419E-3</v>
      </c>
      <c r="DP14" s="268">
        <f t="shared" si="71"/>
        <v>46.973348783314023</v>
      </c>
      <c r="DQ14" s="264">
        <f t="shared" si="72"/>
        <v>6.7890782851935269E-2</v>
      </c>
      <c r="DR14" s="270">
        <f t="shared" si="73"/>
        <v>5.705156347409146E-2</v>
      </c>
      <c r="DS14" s="265">
        <f t="shared" si="74"/>
        <v>379.84593279258399</v>
      </c>
      <c r="DT14" s="269">
        <f t="shared" si="75"/>
        <v>3.2846695688615798E-2</v>
      </c>
      <c r="DU14" s="268">
        <f t="shared" si="76"/>
        <v>218.69135573580536</v>
      </c>
      <c r="DV14" s="264">
        <f t="shared" si="2"/>
        <v>1.7900203232170731E-2</v>
      </c>
      <c r="DW14" s="265">
        <f t="shared" si="3"/>
        <v>119.17849362688295</v>
      </c>
      <c r="DX14" s="264">
        <f t="shared" si="77"/>
        <v>4.970542391177586E-5</v>
      </c>
      <c r="DY14" s="270">
        <f t="shared" si="78"/>
        <v>4.3397720204200312E-5</v>
      </c>
      <c r="DZ14" s="270">
        <f t="shared" si="79"/>
        <v>4.1769619205804584E-5</v>
      </c>
      <c r="EA14" s="265">
        <f t="shared" si="80"/>
        <v>0.27809965237543455</v>
      </c>
      <c r="EB14" s="273">
        <f>IFERROR(VLOOKUP(A14,'BARNET SCHS PUPIL PREMIUM Nos'!$E$31:$V$117,17,0),0)</f>
        <v>120</v>
      </c>
      <c r="EC14" s="258">
        <f>IFERROR(VLOOKUP(A14,CFR20212022_BenchMarkDataReport!$B$4:$CL$90,36,0),0)</f>
        <v>0</v>
      </c>
      <c r="ED14" s="258">
        <f>IFERROR(VLOOKUP(A14,CFR20212022_BenchMarkDataReport!$B$4:$CL$90,37,0),0)</f>
        <v>0</v>
      </c>
      <c r="EE14" s="258">
        <f>IFERROR(VLOOKUP(A14,CFR20212022_BenchMarkDataReport!$B$4:$CL$90,38,0),0)</f>
        <v>20700.38</v>
      </c>
      <c r="EF14" s="258">
        <f>IFERROR(VLOOKUP(A14,CFR20212022_BenchMarkDataReport!$B$4:$CL$90,39,0),0)</f>
        <v>84772.04</v>
      </c>
      <c r="EG14" s="227"/>
    </row>
    <row r="15" spans="1:230" s="5" customFormat="1">
      <c r="A15" s="293">
        <v>2079</v>
      </c>
      <c r="B15" s="294">
        <v>10128</v>
      </c>
      <c r="C15" s="293" t="s">
        <v>37</v>
      </c>
      <c r="D15" s="258">
        <f>IFERROR(VLOOKUP(A15,CFR20212022_BenchMarkDataReport!$B$4:$CL$90,19,0),0)</f>
        <v>2107555.62</v>
      </c>
      <c r="E15" s="258">
        <f>IFERROR(VLOOKUP(A15,CFR20212022_BenchMarkDataReport!$B$4:$CL$90,20,0),0)</f>
        <v>0</v>
      </c>
      <c r="F15" s="258">
        <f>IFERROR(VLOOKUP(A15,CFR20212022_BenchMarkDataReport!$B$4:$CL$90,21,0),0)</f>
        <v>9689.2199999999993</v>
      </c>
      <c r="G15" s="258">
        <f>IFERROR(VLOOKUP(A15,CFR20212022_BenchMarkDataReport!$B$4:$CL$90,22,0),0)</f>
        <v>0</v>
      </c>
      <c r="H15" s="258">
        <f>IFERROR(VLOOKUP(A15,CFR20212022_BenchMarkDataReport!$B$4:$CL$90,23,0),0)</f>
        <v>36314.97</v>
      </c>
      <c r="I15" s="258">
        <f>IFERROR(VLOOKUP(A15,CFR20212022_BenchMarkDataReport!$B$4:$CL$90,24,0),0)</f>
        <v>0</v>
      </c>
      <c r="J15" s="258">
        <f>IFERROR(VLOOKUP(A15,CFR20212022_BenchMarkDataReport!$B$4:$CL$90,25,0),0)</f>
        <v>0</v>
      </c>
      <c r="K15" s="258">
        <f>IFERROR(VLOOKUP(A15,CFR20212022_BenchMarkDataReport!$B$4:$CL$90,26,0),0)</f>
        <v>0</v>
      </c>
      <c r="L15" s="258">
        <f>IFERROR(VLOOKUP(A15,CFR20212022_BenchMarkDataReport!$B$4:$CL$90,27,0),0)</f>
        <v>0</v>
      </c>
      <c r="M15" s="258">
        <f>IFERROR(VLOOKUP(A15,CFR20212022_BenchMarkDataReport!$B$4:$CL$90,28,0),0)</f>
        <v>0</v>
      </c>
      <c r="N15" s="258">
        <f>IFERROR(VLOOKUP(A15,CFR20212022_BenchMarkDataReport!$B$4:$CL$90,29,0),0)</f>
        <v>0</v>
      </c>
      <c r="O15" s="258">
        <f>IFERROR(VLOOKUP(A15,CFR20212022_BenchMarkDataReport!$B$4:$CL$90,30,0),0)</f>
        <v>0</v>
      </c>
      <c r="P15" s="258">
        <f>IFERROR(VLOOKUP(A15,CFR20212022_BenchMarkDataReport!$B$4:$CL$90,31,0),0)</f>
        <v>3532.7</v>
      </c>
      <c r="Q15" s="258">
        <f>IFERROR(VLOOKUP(A15,CFR20212022_BenchMarkDataReport!$B$4:$CL$90,32,0),0)</f>
        <v>0</v>
      </c>
      <c r="R15" s="258">
        <f>IFERROR(VLOOKUP(A15,CFR20212022_BenchMarkDataReport!$B$4:$CL$90,33,0),0)</f>
        <v>0</v>
      </c>
      <c r="S15" s="258">
        <f>IFERROR(VLOOKUP(A15,CFR20212022_BenchMarkDataReport!$B$4:$CL$90,34,0),0)</f>
        <v>0</v>
      </c>
      <c r="T15" s="258">
        <f>IFERROR(VLOOKUP(A15,CFR20212022_BenchMarkDataReport!$B$4:$CL$90,35,0),0)</f>
        <v>0</v>
      </c>
      <c r="U15" s="258">
        <f t="shared" si="0"/>
        <v>117955.11</v>
      </c>
      <c r="V15" s="258">
        <f>IFERROR(VLOOKUP(A15,CFR20212022_BenchMarkDataReport!$B$4:$CL$90,40,0),0)</f>
        <v>1353883.07</v>
      </c>
      <c r="W15" s="258">
        <f>IFERROR(VLOOKUP(A15,CFR20212022_BenchMarkDataReport!$B$4:$CL$90,41,0),0)</f>
        <v>0</v>
      </c>
      <c r="X15" s="258">
        <f>IFERROR(VLOOKUP(A15,CFR20212022_BenchMarkDataReport!$B$4:$CL$90,42,0),0)</f>
        <v>189993.65</v>
      </c>
      <c r="Y15" s="258">
        <f>IFERROR(VLOOKUP(A15,CFR20212022_BenchMarkDataReport!$B$4:$CL$90,43,0),0)</f>
        <v>39775.370000000003</v>
      </c>
      <c r="Z15" s="258">
        <f>IFERROR(VLOOKUP(A15,CFR20212022_BenchMarkDataReport!$B$4:$CL$90,44,0),0)</f>
        <v>141715.5</v>
      </c>
      <c r="AA15" s="258">
        <f>IFERROR(VLOOKUP(A15,CFR20212022_BenchMarkDataReport!$B$4:$CL$90,45,0),0)</f>
        <v>0</v>
      </c>
      <c r="AB15" s="258">
        <f>IFERROR(VLOOKUP(A15,CFR20212022_BenchMarkDataReport!$B$4:$CL$90,46,0),0)</f>
        <v>48159.6</v>
      </c>
      <c r="AC15" s="258">
        <f>IFERROR(VLOOKUP(A15,CFR20212022_BenchMarkDataReport!$B$4:$CL$90,47,0),0)</f>
        <v>39288.839999999997</v>
      </c>
      <c r="AD15" s="258">
        <f>IFERROR(VLOOKUP(A15,CFR20212022_BenchMarkDataReport!$B$4:$CL$90,48,0),0)</f>
        <v>2342.39</v>
      </c>
      <c r="AE15" s="258">
        <f>IFERROR(VLOOKUP(A15,CFR20212022_BenchMarkDataReport!$B$4:$CL$90,49,0),0)</f>
        <v>711.76</v>
      </c>
      <c r="AF15" s="258">
        <f>IFERROR(VLOOKUP(A15,CFR20212022_BenchMarkDataReport!$B$4:$CL$90,50,0),0)</f>
        <v>0</v>
      </c>
      <c r="AG15" s="258">
        <f>IFERROR(VLOOKUP(A15,CFR20212022_BenchMarkDataReport!$B$4:$CL$90,51,0),0)</f>
        <v>20568.7</v>
      </c>
      <c r="AH15" s="258">
        <f>IFERROR(VLOOKUP(A15,CFR20212022_BenchMarkDataReport!$B$4:$CL$90,52,0),0)</f>
        <v>0</v>
      </c>
      <c r="AI15" s="258">
        <f>IFERROR(VLOOKUP(A15,CFR20212022_BenchMarkDataReport!$B$4:$CL$90,53,0),0)</f>
        <v>48939.05</v>
      </c>
      <c r="AJ15" s="258">
        <f>IFERROR(VLOOKUP(A15,CFR20212022_BenchMarkDataReport!$B$4:$CL$90,54,0),0)</f>
        <v>0</v>
      </c>
      <c r="AK15" s="258">
        <f>IFERROR(VLOOKUP(A15,CFR20212022_BenchMarkDataReport!$B$4:$CL$90,55,0),0)</f>
        <v>35463.89</v>
      </c>
      <c r="AL15" s="258">
        <f>IFERROR(VLOOKUP(A15,CFR20212022_BenchMarkDataReport!$B$4:$CL$90,56,0),0)</f>
        <v>28728</v>
      </c>
      <c r="AM15" s="258">
        <f>IFERROR(VLOOKUP(A15,CFR20212022_BenchMarkDataReport!$B$4:$CL$90,57,0),0)</f>
        <v>16129.46</v>
      </c>
      <c r="AN15" s="258">
        <f>IFERROR(VLOOKUP(A15,CFR20212022_BenchMarkDataReport!$B$4:$CL$90,58,0),0)</f>
        <v>53258.79</v>
      </c>
      <c r="AO15" s="258">
        <f>IFERROR(VLOOKUP(A15,CFR20212022_BenchMarkDataReport!$B$4:$CL$90,59,0),0)</f>
        <v>25949.64</v>
      </c>
      <c r="AP15" s="258">
        <f>IFERROR(VLOOKUP(A15,CFR20212022_BenchMarkDataReport!$B$4:$CL$90,60,0),0)</f>
        <v>0</v>
      </c>
      <c r="AQ15" s="258">
        <f>IFERROR(VLOOKUP(A15,CFR20212022_BenchMarkDataReport!$B$4:$CL$90,61,0),0)</f>
        <v>17263.79</v>
      </c>
      <c r="AR15" s="258">
        <f>IFERROR(VLOOKUP(A15,CFR20212022_BenchMarkDataReport!$B$4:$CL$90,62,0),0)</f>
        <v>13197.58</v>
      </c>
      <c r="AS15" s="258">
        <f>IFERROR(VLOOKUP(A15,CFR20212022_BenchMarkDataReport!$B$4:$CL$90,63,0),0)</f>
        <v>84725.64</v>
      </c>
      <c r="AT15" s="258">
        <f>IFERROR(VLOOKUP(A15,CFR20212022_BenchMarkDataReport!$B$4:$CL$90,64,0),0)</f>
        <v>74135.56</v>
      </c>
      <c r="AU15" s="258">
        <f>IFERROR(VLOOKUP(A15,CFR20212022_BenchMarkDataReport!$B$4:$CL$90,65,0),0)</f>
        <v>3520</v>
      </c>
      <c r="AV15" s="258">
        <f>IFERROR(VLOOKUP(A15,CFR20212022_BenchMarkDataReport!$B$4:$CL$90,66,0),0)</f>
        <v>81775.28</v>
      </c>
      <c r="AW15" s="258">
        <f>IFERROR(VLOOKUP(A15,CFR20212022_BenchMarkDataReport!$B$4:$CL$90,67,0),0)</f>
        <v>27505.71</v>
      </c>
      <c r="AX15" s="258">
        <f>IFERROR(VLOOKUP(A15,CFR20212022_BenchMarkDataReport!$B$4:$CL$90,68,0),0)</f>
        <v>0</v>
      </c>
      <c r="AY15" s="258">
        <f>IFERROR(VLOOKUP(A15,CFR20212022_BenchMarkDataReport!$B$4:$CL$90,69,0),0)</f>
        <v>0</v>
      </c>
      <c r="AZ15" s="258">
        <f>IFERROR(VLOOKUP(A15,CFR20212022_BenchMarkDataReport!$B$4:$CL$90,70,0),0)</f>
        <v>0</v>
      </c>
      <c r="BA15" s="258">
        <f>IFERROR(VLOOKUP(A15,CFR20212022_BenchMarkDataReport!$B$4:$CL$90,71,0),0)</f>
        <v>0</v>
      </c>
      <c r="BB15" s="258">
        <f>IFERROR(VLOOKUP(A15,CFR20212022_BenchMarkDataReport!$B$4:$CL$90,72,0),0)</f>
        <v>0</v>
      </c>
      <c r="BC15" s="259">
        <f t="shared" si="10"/>
        <v>2275047.6200000006</v>
      </c>
      <c r="BD15" s="260">
        <f t="shared" si="11"/>
        <v>2347031.27</v>
      </c>
      <c r="BE15" s="296">
        <f t="shared" si="12"/>
        <v>-71983.649999999441</v>
      </c>
      <c r="BF15" s="258">
        <f>IFERROR(VLOOKUP(A15,CFR20212022_BenchMarkDataReport!$B$4:$CL$90,16,0),0)</f>
        <v>108537.02</v>
      </c>
      <c r="BG15" s="296">
        <f>SUM(BE15:BF15)-BA15</f>
        <v>36553.370000000563</v>
      </c>
      <c r="BH15" s="261">
        <f>IFERROR(VLOOKUP(A15,'Pupil Nos BenchmarkData 21-22'!$A$6:$E$94,5,0),0)</f>
        <v>472</v>
      </c>
      <c r="BI15" s="260">
        <f t="shared" si="1"/>
        <v>2117244.8400000003</v>
      </c>
      <c r="BJ15" s="227" t="s">
        <v>183</v>
      </c>
      <c r="BK15" s="262">
        <f t="shared" si="14"/>
        <v>0.92637868388882316</v>
      </c>
      <c r="BL15" s="263">
        <f t="shared" si="15"/>
        <v>4465.1602118644068</v>
      </c>
      <c r="BM15" s="264">
        <f t="shared" si="16"/>
        <v>0</v>
      </c>
      <c r="BN15" s="265">
        <f t="shared" si="17"/>
        <v>0</v>
      </c>
      <c r="BO15" s="262">
        <f t="shared" si="18"/>
        <v>4.2589086552834426E-3</v>
      </c>
      <c r="BP15" s="263">
        <f t="shared" si="19"/>
        <v>20.528008474576271</v>
      </c>
      <c r="BQ15" s="264">
        <f t="shared" si="20"/>
        <v>0</v>
      </c>
      <c r="BR15" s="265">
        <f t="shared" si="21"/>
        <v>0</v>
      </c>
      <c r="BS15" s="262">
        <f t="shared" si="22"/>
        <v>1.5962290055273654E-2</v>
      </c>
      <c r="BT15" s="263">
        <f t="shared" si="23"/>
        <v>76.938495762711867</v>
      </c>
      <c r="BU15" s="264">
        <f t="shared" si="24"/>
        <v>0</v>
      </c>
      <c r="BV15" s="265">
        <f t="shared" si="25"/>
        <v>0</v>
      </c>
      <c r="BW15" s="262">
        <f t="shared" si="26"/>
        <v>0</v>
      </c>
      <c r="BX15" s="263">
        <f t="shared" si="27"/>
        <v>0</v>
      </c>
      <c r="BY15" s="264">
        <f t="shared" si="28"/>
        <v>0</v>
      </c>
      <c r="BZ15" s="266">
        <f t="shared" si="29"/>
        <v>0</v>
      </c>
      <c r="CA15" s="267">
        <f t="shared" si="30"/>
        <v>1.5528026617746132E-3</v>
      </c>
      <c r="CB15" s="268">
        <f t="shared" si="31"/>
        <v>7.4845338983050844</v>
      </c>
      <c r="CC15" s="264">
        <f t="shared" si="32"/>
        <v>0</v>
      </c>
      <c r="CD15" s="265">
        <f t="shared" si="33"/>
        <v>0</v>
      </c>
      <c r="CE15" s="269">
        <f t="shared" si="34"/>
        <v>0.64111766591907238</v>
      </c>
      <c r="CF15" s="267">
        <f t="shared" si="35"/>
        <v>0.59664820114842243</v>
      </c>
      <c r="CG15" s="267">
        <f t="shared" si="36"/>
        <v>0.57834894973512652</v>
      </c>
      <c r="CH15" s="268">
        <f t="shared" si="37"/>
        <v>2875.8539618644068</v>
      </c>
      <c r="CI15" s="264">
        <f t="shared" si="38"/>
        <v>8.9736267818699686E-2</v>
      </c>
      <c r="CJ15" s="270">
        <f t="shared" si="39"/>
        <v>8.3511944246687883E-2</v>
      </c>
      <c r="CK15" s="270">
        <f t="shared" si="40"/>
        <v>8.0950625766481585E-2</v>
      </c>
      <c r="CL15" s="271">
        <f t="shared" si="41"/>
        <v>402.52891949152541</v>
      </c>
      <c r="CM15" s="269">
        <f t="shared" si="42"/>
        <v>1.8786381833855358E-2</v>
      </c>
      <c r="CN15" s="267">
        <f t="shared" si="43"/>
        <v>1.7483313162473493E-2</v>
      </c>
      <c r="CO15" s="267">
        <f t="shared" si="44"/>
        <v>1.6947098450886853E-2</v>
      </c>
      <c r="CP15" s="268">
        <f t="shared" si="45"/>
        <v>84.269851694915261</v>
      </c>
      <c r="CQ15" s="264">
        <f t="shared" si="46"/>
        <v>6.6933921539277422E-2</v>
      </c>
      <c r="CR15" s="270">
        <f t="shared" si="47"/>
        <v>6.2291223600849273E-2</v>
      </c>
      <c r="CS15" s="270">
        <f t="shared" si="48"/>
        <v>6.0380746439735331E-2</v>
      </c>
      <c r="CT15" s="265">
        <f t="shared" si="49"/>
        <v>300.24470338983053</v>
      </c>
      <c r="CU15" s="269">
        <f t="shared" si="50"/>
        <v>0.83765805281169081</v>
      </c>
      <c r="CV15" s="267">
        <f t="shared" si="51"/>
        <v>0.77955607364385615</v>
      </c>
      <c r="CW15" s="267">
        <f t="shared" si="52"/>
        <v>0.755647022120843</v>
      </c>
      <c r="CX15" s="268">
        <f t="shared" si="53"/>
        <v>3757.4728601694919</v>
      </c>
      <c r="CY15" s="264">
        <f t="shared" si="54"/>
        <v>9.7148424270099999E-3</v>
      </c>
      <c r="CZ15" s="270">
        <f t="shared" si="55"/>
        <v>8.7637093987247994E-3</v>
      </c>
      <c r="DA15" s="265">
        <f t="shared" si="56"/>
        <v>43.57775423728814</v>
      </c>
      <c r="DB15" s="269">
        <f t="shared" si="57"/>
        <v>0</v>
      </c>
      <c r="DC15" s="268">
        <f t="shared" si="58"/>
        <v>0</v>
      </c>
      <c r="DD15" s="264">
        <f t="shared" si="59"/>
        <v>1.6750018387103494E-2</v>
      </c>
      <c r="DE15" s="270">
        <f t="shared" si="60"/>
        <v>1.511010545675431E-2</v>
      </c>
      <c r="DF15" s="265">
        <f t="shared" si="61"/>
        <v>75.13536016949152</v>
      </c>
      <c r="DG15" s="269">
        <f t="shared" si="62"/>
        <v>7.6181364078799678E-3</v>
      </c>
      <c r="DH15" s="267">
        <f t="shared" si="63"/>
        <v>6.8722816803373906E-3</v>
      </c>
      <c r="DI15" s="272">
        <f t="shared" si="64"/>
        <v>34.172584745762713</v>
      </c>
      <c r="DJ15" s="264">
        <f t="shared" si="65"/>
        <v>2.5154761978307617E-2</v>
      </c>
      <c r="DK15" s="270">
        <f t="shared" si="66"/>
        <v>2.3409967128512232E-2</v>
      </c>
      <c r="DL15" s="270">
        <f t="shared" si="67"/>
        <v>2.269198143235646E-2</v>
      </c>
      <c r="DM15" s="265">
        <f t="shared" si="68"/>
        <v>112.83641949152542</v>
      </c>
      <c r="DN15" s="269">
        <f t="shared" si="69"/>
        <v>8.1538940012247235E-3</v>
      </c>
      <c r="DO15" s="267">
        <f t="shared" si="70"/>
        <v>7.3555858503751423E-3</v>
      </c>
      <c r="DP15" s="268">
        <f t="shared" si="71"/>
        <v>36.575826271186443</v>
      </c>
      <c r="DQ15" s="264">
        <f t="shared" si="72"/>
        <v>3.8623440451979088E-2</v>
      </c>
      <c r="DR15" s="270">
        <f t="shared" si="73"/>
        <v>3.4842007026178221E-2</v>
      </c>
      <c r="DS15" s="265">
        <f t="shared" si="74"/>
        <v>173.25271186440679</v>
      </c>
      <c r="DT15" s="269">
        <f t="shared" si="75"/>
        <v>3.1586950266751235E-2</v>
      </c>
      <c r="DU15" s="268">
        <f t="shared" si="76"/>
        <v>157.06686440677964</v>
      </c>
      <c r="DV15" s="264">
        <f t="shared" si="2"/>
        <v>2.0851469098662669E-2</v>
      </c>
      <c r="DW15" s="265">
        <f t="shared" si="3"/>
        <v>103.68442796610169</v>
      </c>
      <c r="DX15" s="264">
        <f t="shared" si="77"/>
        <v>1.2752422152555581E-5</v>
      </c>
      <c r="DY15" s="270">
        <f t="shared" si="78"/>
        <v>1.1867883451160462E-5</v>
      </c>
      <c r="DZ15" s="270">
        <f t="shared" si="79"/>
        <v>1.1503894449603988E-5</v>
      </c>
      <c r="EA15" s="265">
        <f t="shared" si="80"/>
        <v>5.7203389830508475E-2</v>
      </c>
      <c r="EB15" s="273">
        <f>IFERROR(VLOOKUP(A15,'BARNET SCHS PUPIL PREMIUM Nos'!$E$31:$V$117,17,0),0)</f>
        <v>27</v>
      </c>
      <c r="EC15" s="258">
        <f>IFERROR(VLOOKUP(A15,CFR20212022_BenchMarkDataReport!$B$4:$CL$90,36,0),0)</f>
        <v>0</v>
      </c>
      <c r="ED15" s="258">
        <f>IFERROR(VLOOKUP(A15,CFR20212022_BenchMarkDataReport!$B$4:$CL$90,37,0),0)</f>
        <v>0</v>
      </c>
      <c r="EE15" s="258">
        <f>IFERROR(VLOOKUP(A15,CFR20212022_BenchMarkDataReport!$B$4:$CL$90,38,0),0)</f>
        <v>0</v>
      </c>
      <c r="EF15" s="258">
        <f>IFERROR(VLOOKUP(A15,CFR20212022_BenchMarkDataReport!$B$4:$CL$90,39,0),0)</f>
        <v>117955.11</v>
      </c>
      <c r="EG15" s="227"/>
    </row>
    <row r="16" spans="1:230" s="5" customFormat="1">
      <c r="A16" s="147">
        <v>3524</v>
      </c>
      <c r="B16" s="298">
        <v>11278</v>
      </c>
      <c r="C16" s="299" t="s">
        <v>311</v>
      </c>
      <c r="D16" s="258">
        <f>IFERROR(VLOOKUP(A16,CFR20212022_BenchMarkDataReport!$B$4:$CL$90,19,0),0)</f>
        <v>1002197.73</v>
      </c>
      <c r="E16" s="258">
        <f>IFERROR(VLOOKUP(A16,CFR20212022_BenchMarkDataReport!$B$4:$CL$90,20,0),0)</f>
        <v>0</v>
      </c>
      <c r="F16" s="258">
        <f>IFERROR(VLOOKUP(A16,CFR20212022_BenchMarkDataReport!$B$4:$CL$90,21,0),0)</f>
        <v>73799.179999999993</v>
      </c>
      <c r="G16" s="258">
        <f>IFERROR(VLOOKUP(A16,CFR20212022_BenchMarkDataReport!$B$4:$CL$90,22,0),0)</f>
        <v>0</v>
      </c>
      <c r="H16" s="258">
        <f>IFERROR(VLOOKUP(A16,CFR20212022_BenchMarkDataReport!$B$4:$CL$90,23,0),0)</f>
        <v>17484.96</v>
      </c>
      <c r="I16" s="258">
        <f>IFERROR(VLOOKUP(A16,CFR20212022_BenchMarkDataReport!$B$4:$CL$90,24,0),0)</f>
        <v>65738.820000000007</v>
      </c>
      <c r="J16" s="258">
        <f>IFERROR(VLOOKUP(A16,CFR20212022_BenchMarkDataReport!$B$4:$CL$90,25,0),0)</f>
        <v>16484.77</v>
      </c>
      <c r="K16" s="258">
        <f>IFERROR(VLOOKUP(A16,CFR20212022_BenchMarkDataReport!$B$4:$CL$90,26,0),0)</f>
        <v>0</v>
      </c>
      <c r="L16" s="258">
        <f>IFERROR(VLOOKUP(A16,CFR20212022_BenchMarkDataReport!$B$4:$CL$90,27,0),0)</f>
        <v>31967.41</v>
      </c>
      <c r="M16" s="258">
        <f>IFERROR(VLOOKUP(A16,CFR20212022_BenchMarkDataReport!$B$4:$CL$90,28,0),0)</f>
        <v>19980.14</v>
      </c>
      <c r="N16" s="258">
        <f>IFERROR(VLOOKUP(A16,CFR20212022_BenchMarkDataReport!$B$4:$CL$90,29,0),0)</f>
        <v>0</v>
      </c>
      <c r="O16" s="258">
        <f>IFERROR(VLOOKUP(A16,CFR20212022_BenchMarkDataReport!$B$4:$CL$90,30,0),0)</f>
        <v>0</v>
      </c>
      <c r="P16" s="258">
        <f>IFERROR(VLOOKUP(A16,CFR20212022_BenchMarkDataReport!$B$4:$CL$90,31,0),0)</f>
        <v>7313.74</v>
      </c>
      <c r="Q16" s="258">
        <f>IFERROR(VLOOKUP(A16,CFR20212022_BenchMarkDataReport!$B$4:$CL$90,32,0),0)</f>
        <v>626350.82999999996</v>
      </c>
      <c r="R16" s="258">
        <f>IFERROR(VLOOKUP(A16,CFR20212022_BenchMarkDataReport!$B$4:$CL$90,33,0),0)</f>
        <v>0</v>
      </c>
      <c r="S16" s="258">
        <f>IFERROR(VLOOKUP(A16,CFR20212022_BenchMarkDataReport!$B$4:$CL$90,34,0),0)</f>
        <v>0</v>
      </c>
      <c r="T16" s="258">
        <f>IFERROR(VLOOKUP(A16,CFR20212022_BenchMarkDataReport!$B$4:$CL$90,35,0),0)</f>
        <v>0</v>
      </c>
      <c r="U16" s="258">
        <f t="shared" si="0"/>
        <v>66070.210000000006</v>
      </c>
      <c r="V16" s="258">
        <f>IFERROR(VLOOKUP(A16,CFR20212022_BenchMarkDataReport!$B$4:$CL$90,40,0),0)</f>
        <v>854041.88</v>
      </c>
      <c r="W16" s="258">
        <f>IFERROR(VLOOKUP(A16,CFR20212022_BenchMarkDataReport!$B$4:$CL$90,41,0),0)</f>
        <v>0</v>
      </c>
      <c r="X16" s="258">
        <f>IFERROR(VLOOKUP(A16,CFR20212022_BenchMarkDataReport!$B$4:$CL$90,42,0),0)</f>
        <v>225498.21</v>
      </c>
      <c r="Y16" s="258">
        <f>IFERROR(VLOOKUP(A16,CFR20212022_BenchMarkDataReport!$B$4:$CL$90,43,0),0)</f>
        <v>28075.86</v>
      </c>
      <c r="Z16" s="258">
        <f>IFERROR(VLOOKUP(A16,CFR20212022_BenchMarkDataReport!$B$4:$CL$90,44,0),0)</f>
        <v>88565.89</v>
      </c>
      <c r="AA16" s="258">
        <f>IFERROR(VLOOKUP(A16,CFR20212022_BenchMarkDataReport!$B$4:$CL$90,45,0),0)</f>
        <v>0</v>
      </c>
      <c r="AB16" s="258">
        <f>IFERROR(VLOOKUP(A16,CFR20212022_BenchMarkDataReport!$B$4:$CL$90,46,0),0)</f>
        <v>2586.85</v>
      </c>
      <c r="AC16" s="258">
        <f>IFERROR(VLOOKUP(A16,CFR20212022_BenchMarkDataReport!$B$4:$CL$90,47,0),0)</f>
        <v>6207.33</v>
      </c>
      <c r="AD16" s="258">
        <f>IFERROR(VLOOKUP(A16,CFR20212022_BenchMarkDataReport!$B$4:$CL$90,48,0),0)</f>
        <v>2158.0300000000002</v>
      </c>
      <c r="AE16" s="258">
        <f>IFERROR(VLOOKUP(A16,CFR20212022_BenchMarkDataReport!$B$4:$CL$90,49,0),0)</f>
        <v>308.32</v>
      </c>
      <c r="AF16" s="258">
        <f>IFERROR(VLOOKUP(A16,CFR20212022_BenchMarkDataReport!$B$4:$CL$90,50,0),0)</f>
        <v>0</v>
      </c>
      <c r="AG16" s="258">
        <f>IFERROR(VLOOKUP(A16,CFR20212022_BenchMarkDataReport!$B$4:$CL$90,51,0),0)</f>
        <v>36301.199999999997</v>
      </c>
      <c r="AH16" s="258">
        <f>IFERROR(VLOOKUP(A16,CFR20212022_BenchMarkDataReport!$B$4:$CL$90,52,0),0)</f>
        <v>27.03</v>
      </c>
      <c r="AI16" s="258">
        <f>IFERROR(VLOOKUP(A16,CFR20212022_BenchMarkDataReport!$B$4:$CL$90,53,0),0)</f>
        <v>29751.63</v>
      </c>
      <c r="AJ16" s="258">
        <f>IFERROR(VLOOKUP(A16,CFR20212022_BenchMarkDataReport!$B$4:$CL$90,54,0),0)</f>
        <v>4575.28</v>
      </c>
      <c r="AK16" s="258">
        <f>IFERROR(VLOOKUP(A16,CFR20212022_BenchMarkDataReport!$B$4:$CL$90,55,0),0)</f>
        <v>25670.959999999999</v>
      </c>
      <c r="AL16" s="258">
        <f>IFERROR(VLOOKUP(A16,CFR20212022_BenchMarkDataReport!$B$4:$CL$90,56,0),0)</f>
        <v>7714</v>
      </c>
      <c r="AM16" s="258">
        <f>IFERROR(VLOOKUP(A16,CFR20212022_BenchMarkDataReport!$B$4:$CL$90,57,0),0)</f>
        <v>65641.84</v>
      </c>
      <c r="AN16" s="258">
        <f>IFERROR(VLOOKUP(A16,CFR20212022_BenchMarkDataReport!$B$4:$CL$90,58,0),0)</f>
        <v>55424.74</v>
      </c>
      <c r="AO16" s="258">
        <f>IFERROR(VLOOKUP(A16,CFR20212022_BenchMarkDataReport!$B$4:$CL$90,59,0),0)</f>
        <v>11232.25</v>
      </c>
      <c r="AP16" s="258">
        <f>IFERROR(VLOOKUP(A16,CFR20212022_BenchMarkDataReport!$B$4:$CL$90,60,0),0)</f>
        <v>0</v>
      </c>
      <c r="AQ16" s="258">
        <f>IFERROR(VLOOKUP(A16,CFR20212022_BenchMarkDataReport!$B$4:$CL$90,61,0),0)</f>
        <v>15972.39</v>
      </c>
      <c r="AR16" s="258">
        <f>IFERROR(VLOOKUP(A16,CFR20212022_BenchMarkDataReport!$B$4:$CL$90,62,0),0)</f>
        <v>19364.11</v>
      </c>
      <c r="AS16" s="258">
        <f>IFERROR(VLOOKUP(A16,CFR20212022_BenchMarkDataReport!$B$4:$CL$90,63,0),0)</f>
        <v>44.14</v>
      </c>
      <c r="AT16" s="258">
        <f>IFERROR(VLOOKUP(A16,CFR20212022_BenchMarkDataReport!$B$4:$CL$90,64,0),0)</f>
        <v>60851.08</v>
      </c>
      <c r="AU16" s="258">
        <f>IFERROR(VLOOKUP(A16,CFR20212022_BenchMarkDataReport!$B$4:$CL$90,65,0),0)</f>
        <v>34918.160000000003</v>
      </c>
      <c r="AV16" s="258">
        <f>IFERROR(VLOOKUP(A16,CFR20212022_BenchMarkDataReport!$B$4:$CL$90,66,0),0)</f>
        <v>16990.48</v>
      </c>
      <c r="AW16" s="258">
        <f>IFERROR(VLOOKUP(A16,CFR20212022_BenchMarkDataReport!$B$4:$CL$90,67,0),0)</f>
        <v>26892.41</v>
      </c>
      <c r="AX16" s="258">
        <f>IFERROR(VLOOKUP(A16,CFR20212022_BenchMarkDataReport!$B$4:$CL$90,68,0),0)</f>
        <v>0</v>
      </c>
      <c r="AY16" s="258">
        <f>IFERROR(VLOOKUP(A16,CFR20212022_BenchMarkDataReport!$B$4:$CL$90,69,0),0)</f>
        <v>0</v>
      </c>
      <c r="AZ16" s="258">
        <f>IFERROR(VLOOKUP(A16,CFR20212022_BenchMarkDataReport!$B$4:$CL$90,70,0),0)</f>
        <v>0</v>
      </c>
      <c r="BA16" s="258">
        <f>IFERROR(VLOOKUP(A16,CFR20212022_BenchMarkDataReport!$B$4:$CL$90,71,0),0)</f>
        <v>0</v>
      </c>
      <c r="BB16" s="258">
        <f>IFERROR(VLOOKUP(A16,CFR20212022_BenchMarkDataReport!$B$4:$CL$90,72,0),0)</f>
        <v>0</v>
      </c>
      <c r="BC16" s="259">
        <f t="shared" si="10"/>
        <v>1927387.7899999996</v>
      </c>
      <c r="BD16" s="260">
        <f t="shared" si="11"/>
        <v>1618814.07</v>
      </c>
      <c r="BE16" s="300">
        <f t="shared" si="12"/>
        <v>308573.71999999951</v>
      </c>
      <c r="BF16" s="258">
        <f>IFERROR(VLOOKUP(A16,CFR20212022_BenchMarkDataReport!$B$4:$CL$90,16,0),0)</f>
        <v>-205818.78</v>
      </c>
      <c r="BG16" s="300">
        <f t="shared" si="13"/>
        <v>102754.93999999951</v>
      </c>
      <c r="BH16" s="261">
        <f>IFERROR(VLOOKUP(A16,'Pupil Nos BenchmarkData 21-22'!$A$6:$E$94,5,0),0)</f>
        <v>221</v>
      </c>
      <c r="BI16" s="260">
        <f t="shared" si="1"/>
        <v>1075996.9099999999</v>
      </c>
      <c r="BJ16" s="227" t="s">
        <v>183</v>
      </c>
      <c r="BK16" s="262">
        <f t="shared" si="14"/>
        <v>0.51997721226614191</v>
      </c>
      <c r="BL16" s="263">
        <f t="shared" si="15"/>
        <v>4534.8313574660633</v>
      </c>
      <c r="BM16" s="264">
        <f t="shared" si="16"/>
        <v>0</v>
      </c>
      <c r="BN16" s="265">
        <f t="shared" si="17"/>
        <v>0</v>
      </c>
      <c r="BO16" s="262">
        <f t="shared" si="18"/>
        <v>3.8289741370624748E-2</v>
      </c>
      <c r="BP16" s="263">
        <f t="shared" si="19"/>
        <v>333.93294117647054</v>
      </c>
      <c r="BQ16" s="264">
        <f t="shared" si="20"/>
        <v>0</v>
      </c>
      <c r="BR16" s="265">
        <f t="shared" si="21"/>
        <v>0</v>
      </c>
      <c r="BS16" s="262">
        <f t="shared" si="22"/>
        <v>9.0718432952197978E-3</v>
      </c>
      <c r="BT16" s="263">
        <f t="shared" si="23"/>
        <v>79.117466063348417</v>
      </c>
      <c r="BU16" s="264">
        <f t="shared" si="24"/>
        <v>3.4107728782488564E-2</v>
      </c>
      <c r="BV16" s="265">
        <f t="shared" si="25"/>
        <v>297.46072398190046</v>
      </c>
      <c r="BW16" s="262">
        <f t="shared" si="26"/>
        <v>8.5529077674607479E-3</v>
      </c>
      <c r="BX16" s="263">
        <f t="shared" si="27"/>
        <v>74.591719457013582</v>
      </c>
      <c r="BY16" s="264">
        <f t="shared" si="28"/>
        <v>1.6585873463481889E-2</v>
      </c>
      <c r="BZ16" s="266">
        <f t="shared" si="29"/>
        <v>144.64891402714932</v>
      </c>
      <c r="CA16" s="267">
        <f t="shared" si="30"/>
        <v>3.7946385454688397E-3</v>
      </c>
      <c r="CB16" s="268">
        <f t="shared" si="31"/>
        <v>33.093846153846151</v>
      </c>
      <c r="CC16" s="264">
        <f t="shared" si="32"/>
        <v>0.3249739534772087</v>
      </c>
      <c r="CD16" s="265">
        <f t="shared" si="33"/>
        <v>2834.1666515837101</v>
      </c>
      <c r="CE16" s="269">
        <f t="shared" si="34"/>
        <v>0.82617341345339002</v>
      </c>
      <c r="CF16" s="267">
        <f t="shared" si="35"/>
        <v>0.46122531470431294</v>
      </c>
      <c r="CG16" s="267">
        <f t="shared" si="36"/>
        <v>0.5491427684465332</v>
      </c>
      <c r="CH16" s="268">
        <f t="shared" si="37"/>
        <v>4022.4436199095026</v>
      </c>
      <c r="CI16" s="264">
        <f t="shared" si="38"/>
        <v>0.20957142897371334</v>
      </c>
      <c r="CJ16" s="270">
        <f t="shared" si="39"/>
        <v>0.11699680322245895</v>
      </c>
      <c r="CK16" s="270">
        <f t="shared" si="40"/>
        <v>0.13929840009359443</v>
      </c>
      <c r="CL16" s="271">
        <f t="shared" si="41"/>
        <v>1020.3538914027149</v>
      </c>
      <c r="CM16" s="269">
        <f t="shared" si="42"/>
        <v>2.609288162360987E-2</v>
      </c>
      <c r="CN16" s="267">
        <f t="shared" si="43"/>
        <v>1.4566793535617451E-2</v>
      </c>
      <c r="CO16" s="267">
        <f t="shared" si="44"/>
        <v>1.7343474164392456E-2</v>
      </c>
      <c r="CP16" s="268">
        <f t="shared" si="45"/>
        <v>127.04009049773757</v>
      </c>
      <c r="CQ16" s="264">
        <f t="shared" si="46"/>
        <v>8.2310543066522385E-2</v>
      </c>
      <c r="CR16" s="270">
        <f t="shared" si="47"/>
        <v>4.5951256129935336E-2</v>
      </c>
      <c r="CS16" s="270">
        <f t="shared" si="48"/>
        <v>5.4710353487352627E-2</v>
      </c>
      <c r="CT16" s="265">
        <f t="shared" si="49"/>
        <v>400.7506334841629</v>
      </c>
      <c r="CU16" s="269">
        <f t="shared" si="50"/>
        <v>1.1141004949540239</v>
      </c>
      <c r="CV16" s="267">
        <f t="shared" si="51"/>
        <v>0.62196548936319684</v>
      </c>
      <c r="CW16" s="267">
        <f t="shared" si="52"/>
        <v>0.74052277665216992</v>
      </c>
      <c r="CX16" s="268">
        <f t="shared" si="53"/>
        <v>5424.2927149321276</v>
      </c>
      <c r="CY16" s="264">
        <f t="shared" si="54"/>
        <v>3.3737271606105262E-2</v>
      </c>
      <c r="CZ16" s="270">
        <f t="shared" si="55"/>
        <v>2.2424564174933319E-2</v>
      </c>
      <c r="DA16" s="265">
        <f t="shared" si="56"/>
        <v>164.25882352941176</v>
      </c>
      <c r="DB16" s="269">
        <f t="shared" si="57"/>
        <v>2.8263159338613852E-3</v>
      </c>
      <c r="DC16" s="268">
        <f t="shared" si="58"/>
        <v>20.70262443438914</v>
      </c>
      <c r="DD16" s="264">
        <f t="shared" si="59"/>
        <v>2.385783803040847E-2</v>
      </c>
      <c r="DE16" s="270">
        <f t="shared" si="60"/>
        <v>1.5857880454424267E-2</v>
      </c>
      <c r="DF16" s="265">
        <f t="shared" si="61"/>
        <v>116.15819004524886</v>
      </c>
      <c r="DG16" s="269">
        <f t="shared" si="62"/>
        <v>6.1005602701963153E-2</v>
      </c>
      <c r="DH16" s="267">
        <f t="shared" si="63"/>
        <v>4.0549338689649515E-2</v>
      </c>
      <c r="DI16" s="272">
        <f t="shared" si="64"/>
        <v>297.02190045248869</v>
      </c>
      <c r="DJ16" s="264">
        <f t="shared" si="65"/>
        <v>5.1510129336709717E-2</v>
      </c>
      <c r="DK16" s="270">
        <f t="shared" si="66"/>
        <v>2.8756402986240777E-2</v>
      </c>
      <c r="DL16" s="270">
        <f t="shared" si="67"/>
        <v>3.4237866489509813E-2</v>
      </c>
      <c r="DM16" s="265">
        <f t="shared" si="68"/>
        <v>250.79067873303165</v>
      </c>
      <c r="DN16" s="269">
        <f t="shared" si="69"/>
        <v>1.4844271253529901E-2</v>
      </c>
      <c r="DO16" s="267">
        <f t="shared" si="70"/>
        <v>9.8667229893795016E-3</v>
      </c>
      <c r="DP16" s="268">
        <f t="shared" si="71"/>
        <v>72.273257918552034</v>
      </c>
      <c r="DQ16" s="264">
        <f t="shared" si="72"/>
        <v>1.5790454268126107E-2</v>
      </c>
      <c r="DR16" s="270">
        <f t="shared" si="73"/>
        <v>1.0495634004465997E-2</v>
      </c>
      <c r="DS16" s="265">
        <f t="shared" si="74"/>
        <v>76.88</v>
      </c>
      <c r="DT16" s="269">
        <f t="shared" si="75"/>
        <v>3.7589912966348261E-2</v>
      </c>
      <c r="DU16" s="268">
        <f t="shared" si="76"/>
        <v>275.34425339366516</v>
      </c>
      <c r="DV16" s="264">
        <f t="shared" si="2"/>
        <v>1.8378657902324756E-2</v>
      </c>
      <c r="DW16" s="265">
        <f t="shared" si="3"/>
        <v>134.62276018099547</v>
      </c>
      <c r="DX16" s="264">
        <f t="shared" si="77"/>
        <v>1.2081819082547366E-5</v>
      </c>
      <c r="DY16" s="270">
        <f t="shared" si="78"/>
        <v>6.7448803336042734E-6</v>
      </c>
      <c r="DZ16" s="270">
        <f t="shared" si="79"/>
        <v>8.0305701815403672E-6</v>
      </c>
      <c r="EA16" s="265">
        <f t="shared" si="80"/>
        <v>5.8823529411764705E-2</v>
      </c>
      <c r="EB16" s="273">
        <f>IFERROR(VLOOKUP(A16,'BARNET SCHS PUPIL PREMIUM Nos'!$E$31:$V$117,17,0),0)</f>
        <v>13</v>
      </c>
      <c r="EC16" s="258">
        <f>IFERROR(VLOOKUP(A16,CFR20212022_BenchMarkDataReport!$B$4:$CL$90,36,0),0)</f>
        <v>0</v>
      </c>
      <c r="ED16" s="258">
        <f>IFERROR(VLOOKUP(A16,CFR20212022_BenchMarkDataReport!$B$4:$CL$90,37,0),0)</f>
        <v>1826.88</v>
      </c>
      <c r="EE16" s="258">
        <f>IFERROR(VLOOKUP(A16,CFR20212022_BenchMarkDataReport!$B$4:$CL$90,38,0),0)</f>
        <v>6260</v>
      </c>
      <c r="EF16" s="258">
        <f>IFERROR(VLOOKUP(A16,CFR20212022_BenchMarkDataReport!$B$4:$CL$90,39,0),0)</f>
        <v>57983.33</v>
      </c>
      <c r="EG16" s="227"/>
    </row>
    <row r="17" spans="1:137" s="5" customFormat="1">
      <c r="A17" s="293">
        <v>2003</v>
      </c>
      <c r="B17" s="294">
        <v>10045</v>
      </c>
      <c r="C17" s="293" t="s">
        <v>38</v>
      </c>
      <c r="D17" s="258">
        <f>IFERROR(VLOOKUP(A17,CFR20212022_BenchMarkDataReport!$B$4:$CL$90,19,0),0)</f>
        <v>1994058.6</v>
      </c>
      <c r="E17" s="258">
        <f>IFERROR(VLOOKUP(A17,CFR20212022_BenchMarkDataReport!$B$4:$CL$90,20,0),0)</f>
        <v>0</v>
      </c>
      <c r="F17" s="258">
        <f>IFERROR(VLOOKUP(A17,CFR20212022_BenchMarkDataReport!$B$4:$CL$90,21,0),0)</f>
        <v>120515.24</v>
      </c>
      <c r="G17" s="258">
        <f>IFERROR(VLOOKUP(A17,CFR20212022_BenchMarkDataReport!$B$4:$CL$90,22,0),0)</f>
        <v>0</v>
      </c>
      <c r="H17" s="258">
        <f>IFERROR(VLOOKUP(A17,CFR20212022_BenchMarkDataReport!$B$4:$CL$90,23,0),0)</f>
        <v>188545.96</v>
      </c>
      <c r="I17" s="258">
        <f>IFERROR(VLOOKUP(A17,CFR20212022_BenchMarkDataReport!$B$4:$CL$90,24,0),0)</f>
        <v>46885.91</v>
      </c>
      <c r="J17" s="258">
        <f>IFERROR(VLOOKUP(A17,CFR20212022_BenchMarkDataReport!$B$4:$CL$90,25,0),0)</f>
        <v>0</v>
      </c>
      <c r="K17" s="258">
        <f>IFERROR(VLOOKUP(A17,CFR20212022_BenchMarkDataReport!$B$4:$CL$90,26,0),0)</f>
        <v>14572</v>
      </c>
      <c r="L17" s="258">
        <f>IFERROR(VLOOKUP(A17,CFR20212022_BenchMarkDataReport!$B$4:$CL$90,27,0),0)</f>
        <v>33760.730000000003</v>
      </c>
      <c r="M17" s="258">
        <f>IFERROR(VLOOKUP(A17,CFR20212022_BenchMarkDataReport!$B$4:$CL$90,28,0),0)</f>
        <v>19766</v>
      </c>
      <c r="N17" s="258">
        <f>IFERROR(VLOOKUP(A17,CFR20212022_BenchMarkDataReport!$B$4:$CL$90,29,0),0)</f>
        <v>0</v>
      </c>
      <c r="O17" s="258">
        <f>IFERROR(VLOOKUP(A17,CFR20212022_BenchMarkDataReport!$B$4:$CL$90,30,0),0)</f>
        <v>0</v>
      </c>
      <c r="P17" s="258">
        <f>IFERROR(VLOOKUP(A17,CFR20212022_BenchMarkDataReport!$B$4:$CL$90,31,0),0)</f>
        <v>15431.5</v>
      </c>
      <c r="Q17" s="258">
        <f>IFERROR(VLOOKUP(A17,CFR20212022_BenchMarkDataReport!$B$4:$CL$90,32,0),0)</f>
        <v>753.86</v>
      </c>
      <c r="R17" s="258">
        <f>IFERROR(VLOOKUP(A17,CFR20212022_BenchMarkDataReport!$B$4:$CL$90,33,0),0)</f>
        <v>0</v>
      </c>
      <c r="S17" s="258">
        <f>IFERROR(VLOOKUP(A17,CFR20212022_BenchMarkDataReport!$B$4:$CL$90,34,0),0)</f>
        <v>164301</v>
      </c>
      <c r="T17" s="258">
        <f>IFERROR(VLOOKUP(A17,CFR20212022_BenchMarkDataReport!$B$4:$CL$90,35,0),0)</f>
        <v>0</v>
      </c>
      <c r="U17" s="258">
        <f t="shared" si="0"/>
        <v>100788.29000000001</v>
      </c>
      <c r="V17" s="258">
        <f>IFERROR(VLOOKUP(A17,CFR20212022_BenchMarkDataReport!$B$4:$CL$90,40,0),0)</f>
        <v>848747.31</v>
      </c>
      <c r="W17" s="258">
        <f>IFERROR(VLOOKUP(A17,CFR20212022_BenchMarkDataReport!$B$4:$CL$90,41,0),0)</f>
        <v>0</v>
      </c>
      <c r="X17" s="258">
        <f>IFERROR(VLOOKUP(A17,CFR20212022_BenchMarkDataReport!$B$4:$CL$90,42,0),0)</f>
        <v>487757.04</v>
      </c>
      <c r="Y17" s="258">
        <f>IFERROR(VLOOKUP(A17,CFR20212022_BenchMarkDataReport!$B$4:$CL$90,43,0),0)</f>
        <v>104446.3</v>
      </c>
      <c r="Z17" s="258">
        <f>IFERROR(VLOOKUP(A17,CFR20212022_BenchMarkDataReport!$B$4:$CL$90,44,0),0)</f>
        <v>104412.7</v>
      </c>
      <c r="AA17" s="258">
        <f>IFERROR(VLOOKUP(A17,CFR20212022_BenchMarkDataReport!$B$4:$CL$90,45,0),0)</f>
        <v>0</v>
      </c>
      <c r="AB17" s="258">
        <f>IFERROR(VLOOKUP(A17,CFR20212022_BenchMarkDataReport!$B$4:$CL$90,46,0),0)</f>
        <v>67872.89</v>
      </c>
      <c r="AC17" s="258">
        <f>IFERROR(VLOOKUP(A17,CFR20212022_BenchMarkDataReport!$B$4:$CL$90,47,0),0)</f>
        <v>16945.54</v>
      </c>
      <c r="AD17" s="258">
        <f>IFERROR(VLOOKUP(A17,CFR20212022_BenchMarkDataReport!$B$4:$CL$90,48,0),0)</f>
        <v>16319.23</v>
      </c>
      <c r="AE17" s="258">
        <f>IFERROR(VLOOKUP(A17,CFR20212022_BenchMarkDataReport!$B$4:$CL$90,49,0),0)</f>
        <v>578.91999999999996</v>
      </c>
      <c r="AF17" s="258">
        <f>IFERROR(VLOOKUP(A17,CFR20212022_BenchMarkDataReport!$B$4:$CL$90,50,0),0)</f>
        <v>1446</v>
      </c>
      <c r="AG17" s="258">
        <f>IFERROR(VLOOKUP(A17,CFR20212022_BenchMarkDataReport!$B$4:$CL$90,51,0),0)</f>
        <v>35930.57</v>
      </c>
      <c r="AH17" s="258">
        <f>IFERROR(VLOOKUP(A17,CFR20212022_BenchMarkDataReport!$B$4:$CL$90,52,0),0)</f>
        <v>1633.25</v>
      </c>
      <c r="AI17" s="258">
        <f>IFERROR(VLOOKUP(A17,CFR20212022_BenchMarkDataReport!$B$4:$CL$90,53,0),0)</f>
        <v>4641.37</v>
      </c>
      <c r="AJ17" s="258">
        <f>IFERROR(VLOOKUP(A17,CFR20212022_BenchMarkDataReport!$B$4:$CL$90,54,0),0)</f>
        <v>11242.14</v>
      </c>
      <c r="AK17" s="258">
        <f>IFERROR(VLOOKUP(A17,CFR20212022_BenchMarkDataReport!$B$4:$CL$90,55,0),0)</f>
        <v>26831.51</v>
      </c>
      <c r="AL17" s="258">
        <f>IFERROR(VLOOKUP(A17,CFR20212022_BenchMarkDataReport!$B$4:$CL$90,56,0),0)</f>
        <v>19535.849999999999</v>
      </c>
      <c r="AM17" s="258">
        <f>IFERROR(VLOOKUP(A17,CFR20212022_BenchMarkDataReport!$B$4:$CL$90,57,0),0)</f>
        <v>5668.1</v>
      </c>
      <c r="AN17" s="258">
        <f>IFERROR(VLOOKUP(A17,CFR20212022_BenchMarkDataReport!$B$4:$CL$90,58,0),0)</f>
        <v>76684.070000000007</v>
      </c>
      <c r="AO17" s="258">
        <f>IFERROR(VLOOKUP(A17,CFR20212022_BenchMarkDataReport!$B$4:$CL$90,59,0),0)</f>
        <v>22392</v>
      </c>
      <c r="AP17" s="258">
        <f>IFERROR(VLOOKUP(A17,CFR20212022_BenchMarkDataReport!$B$4:$CL$90,60,0),0)</f>
        <v>0</v>
      </c>
      <c r="AQ17" s="258">
        <f>IFERROR(VLOOKUP(A17,CFR20212022_BenchMarkDataReport!$B$4:$CL$90,61,0),0)</f>
        <v>26095.88</v>
      </c>
      <c r="AR17" s="258">
        <f>IFERROR(VLOOKUP(A17,CFR20212022_BenchMarkDataReport!$B$4:$CL$90,62,0),0)</f>
        <v>9093.01</v>
      </c>
      <c r="AS17" s="258">
        <f>IFERROR(VLOOKUP(A17,CFR20212022_BenchMarkDataReport!$B$4:$CL$90,63,0),0)</f>
        <v>11249.68</v>
      </c>
      <c r="AT17" s="258">
        <f>IFERROR(VLOOKUP(A17,CFR20212022_BenchMarkDataReport!$B$4:$CL$90,64,0),0)</f>
        <v>102768</v>
      </c>
      <c r="AU17" s="258">
        <f>IFERROR(VLOOKUP(A17,CFR20212022_BenchMarkDataReport!$B$4:$CL$90,65,0),0)</f>
        <v>206888.7</v>
      </c>
      <c r="AV17" s="258">
        <f>IFERROR(VLOOKUP(A17,CFR20212022_BenchMarkDataReport!$B$4:$CL$90,66,0),0)</f>
        <v>142961</v>
      </c>
      <c r="AW17" s="258">
        <f>IFERROR(VLOOKUP(A17,CFR20212022_BenchMarkDataReport!$B$4:$CL$90,67,0),0)</f>
        <v>89911.72</v>
      </c>
      <c r="AX17" s="258">
        <f>IFERROR(VLOOKUP(A17,CFR20212022_BenchMarkDataReport!$B$4:$CL$90,68,0),0)</f>
        <v>0</v>
      </c>
      <c r="AY17" s="258">
        <f>IFERROR(VLOOKUP(A17,CFR20212022_BenchMarkDataReport!$B$4:$CL$90,69,0),0)</f>
        <v>0</v>
      </c>
      <c r="AZ17" s="258">
        <f>IFERROR(VLOOKUP(A17,CFR20212022_BenchMarkDataReport!$B$4:$CL$90,70,0),0)</f>
        <v>0</v>
      </c>
      <c r="BA17" s="258">
        <f>IFERROR(VLOOKUP(A17,CFR20212022_BenchMarkDataReport!$B$4:$CL$90,71,0),0)</f>
        <v>108556.31</v>
      </c>
      <c r="BB17" s="258">
        <f>IFERROR(VLOOKUP(A17,CFR20212022_BenchMarkDataReport!$B$4:$CL$90,72,0),0)</f>
        <v>19324.310000000001</v>
      </c>
      <c r="BC17" s="259">
        <f t="shared" si="10"/>
        <v>2535078.0900000003</v>
      </c>
      <c r="BD17" s="260">
        <f t="shared" si="11"/>
        <v>2442052.7800000003</v>
      </c>
      <c r="BE17" s="296">
        <f t="shared" si="12"/>
        <v>93025.310000000056</v>
      </c>
      <c r="BF17" s="258">
        <f>IFERROR(VLOOKUP(A17,CFR20212022_BenchMarkDataReport!$B$4:$CL$90,16,0),0)</f>
        <v>-157555.82999999999</v>
      </c>
      <c r="BG17" s="296">
        <f t="shared" si="13"/>
        <v>-64530.519999999931</v>
      </c>
      <c r="BH17" s="261">
        <f>IFERROR(VLOOKUP(A17,'Pupil Nos BenchmarkData 21-22'!$A$6:$E$94,5,0),0)</f>
        <v>405.5</v>
      </c>
      <c r="BI17" s="260">
        <f t="shared" si="1"/>
        <v>2114573.8400000003</v>
      </c>
      <c r="BJ17" s="227" t="s">
        <v>183</v>
      </c>
      <c r="BK17" s="262">
        <f t="shared" si="14"/>
        <v>0.78658665698144226</v>
      </c>
      <c r="BL17" s="263">
        <f t="shared" si="15"/>
        <v>4917.5304562268802</v>
      </c>
      <c r="BM17" s="264">
        <f t="shared" si="16"/>
        <v>0</v>
      </c>
      <c r="BN17" s="265">
        <f t="shared" si="17"/>
        <v>0</v>
      </c>
      <c r="BO17" s="262">
        <f t="shared" si="18"/>
        <v>4.7539064171392052E-2</v>
      </c>
      <c r="BP17" s="263">
        <f t="shared" si="19"/>
        <v>297.20157829839707</v>
      </c>
      <c r="BQ17" s="264">
        <f t="shared" si="20"/>
        <v>0</v>
      </c>
      <c r="BR17" s="265">
        <f t="shared" si="21"/>
        <v>0</v>
      </c>
      <c r="BS17" s="262">
        <f t="shared" si="22"/>
        <v>7.4374813440165055E-2</v>
      </c>
      <c r="BT17" s="263">
        <f t="shared" si="23"/>
        <v>464.97154130702836</v>
      </c>
      <c r="BU17" s="264">
        <f t="shared" si="24"/>
        <v>1.8494858278704937E-2</v>
      </c>
      <c r="BV17" s="265">
        <f t="shared" si="25"/>
        <v>115.62493218249077</v>
      </c>
      <c r="BW17" s="262">
        <f t="shared" si="26"/>
        <v>0</v>
      </c>
      <c r="BX17" s="263">
        <f t="shared" si="27"/>
        <v>0</v>
      </c>
      <c r="BY17" s="264">
        <f t="shared" si="28"/>
        <v>1.9065578370408304E-2</v>
      </c>
      <c r="BZ17" s="266">
        <f t="shared" si="29"/>
        <v>119.19292231812578</v>
      </c>
      <c r="CA17" s="267">
        <f t="shared" si="30"/>
        <v>6.0871892115954493E-3</v>
      </c>
      <c r="CB17" s="268">
        <f t="shared" si="31"/>
        <v>38.055487053020961</v>
      </c>
      <c r="CC17" s="264">
        <f t="shared" si="32"/>
        <v>2.9737151016125108E-4</v>
      </c>
      <c r="CD17" s="265">
        <f t="shared" si="33"/>
        <v>1.8590875462392109</v>
      </c>
      <c r="CE17" s="269">
        <f t="shared" si="34"/>
        <v>0.49921927058361787</v>
      </c>
      <c r="CF17" s="267">
        <f t="shared" si="35"/>
        <v>0.41641163408895221</v>
      </c>
      <c r="CG17" s="267">
        <f t="shared" si="36"/>
        <v>0.4322740354530748</v>
      </c>
      <c r="CH17" s="268">
        <f t="shared" si="37"/>
        <v>2603.2947225647349</v>
      </c>
      <c r="CI17" s="264">
        <f t="shared" si="38"/>
        <v>0.23066446334170099</v>
      </c>
      <c r="CJ17" s="270">
        <f t="shared" si="39"/>
        <v>0.19240316182922787</v>
      </c>
      <c r="CK17" s="270">
        <f t="shared" si="40"/>
        <v>0.1997323907143399</v>
      </c>
      <c r="CL17" s="271">
        <f t="shared" si="41"/>
        <v>1202.8533662145499</v>
      </c>
      <c r="CM17" s="269">
        <f t="shared" si="42"/>
        <v>4.939354588818709E-2</v>
      </c>
      <c r="CN17" s="267">
        <f t="shared" si="43"/>
        <v>4.1200427084279678E-2</v>
      </c>
      <c r="CO17" s="267">
        <f t="shared" si="44"/>
        <v>4.2769878216964659E-2</v>
      </c>
      <c r="CP17" s="268">
        <f t="shared" si="45"/>
        <v>257.57410604192359</v>
      </c>
      <c r="CQ17" s="264">
        <f t="shared" si="46"/>
        <v>4.9377656161678413E-2</v>
      </c>
      <c r="CR17" s="270">
        <f t="shared" si="47"/>
        <v>4.1187173054696706E-2</v>
      </c>
      <c r="CS17" s="270">
        <f t="shared" si="48"/>
        <v>4.2756119300582845E-2</v>
      </c>
      <c r="CT17" s="265">
        <f t="shared" si="49"/>
        <v>257.49124537607889</v>
      </c>
      <c r="CU17" s="269">
        <f t="shared" si="50"/>
        <v>0.76291317403226733</v>
      </c>
      <c r="CV17" s="267">
        <f t="shared" si="51"/>
        <v>0.63636550146666282</v>
      </c>
      <c r="CW17" s="267">
        <f t="shared" si="52"/>
        <v>0.66060662292483285</v>
      </c>
      <c r="CX17" s="268">
        <f t="shared" si="53"/>
        <v>3978.3877681874228</v>
      </c>
      <c r="CY17" s="264">
        <f t="shared" si="54"/>
        <v>1.699187293454836E-2</v>
      </c>
      <c r="CZ17" s="270">
        <f t="shared" si="55"/>
        <v>1.471326512443355E-2</v>
      </c>
      <c r="DA17" s="265">
        <f t="shared" si="56"/>
        <v>88.608064118372383</v>
      </c>
      <c r="DB17" s="269">
        <f t="shared" si="57"/>
        <v>4.6035614349006814E-3</v>
      </c>
      <c r="DC17" s="268">
        <f t="shared" si="58"/>
        <v>27.724143033292229</v>
      </c>
      <c r="DD17" s="264">
        <f t="shared" si="59"/>
        <v>1.2688849872464134E-2</v>
      </c>
      <c r="DE17" s="270">
        <f t="shared" si="60"/>
        <v>1.0987276859757304E-2</v>
      </c>
      <c r="DF17" s="265">
        <f t="shared" si="61"/>
        <v>66.168951911220717</v>
      </c>
      <c r="DG17" s="269">
        <f t="shared" si="62"/>
        <v>2.6804928221376271E-3</v>
      </c>
      <c r="DH17" s="267">
        <f t="shared" si="63"/>
        <v>2.321039105469293E-3</v>
      </c>
      <c r="DI17" s="272">
        <f t="shared" si="64"/>
        <v>13.978051787916154</v>
      </c>
      <c r="DJ17" s="264">
        <f t="shared" si="65"/>
        <v>3.6264550591432645E-2</v>
      </c>
      <c r="DK17" s="270">
        <f t="shared" si="66"/>
        <v>3.0249194414362201E-2</v>
      </c>
      <c r="DL17" s="270">
        <f t="shared" si="67"/>
        <v>3.1401479373431067E-2</v>
      </c>
      <c r="DM17" s="265">
        <f t="shared" si="68"/>
        <v>189.10991368680644</v>
      </c>
      <c r="DN17" s="269">
        <f t="shared" si="69"/>
        <v>1.2340964172714819E-2</v>
      </c>
      <c r="DO17" s="267">
        <f t="shared" si="70"/>
        <v>1.0686042584222934E-2</v>
      </c>
      <c r="DP17" s="268">
        <f t="shared" si="71"/>
        <v>64.354821208384706</v>
      </c>
      <c r="DQ17" s="264">
        <f t="shared" si="72"/>
        <v>6.760747593472545E-2</v>
      </c>
      <c r="DR17" s="270">
        <f t="shared" si="73"/>
        <v>5.854132276371192E-2</v>
      </c>
      <c r="DS17" s="265">
        <f t="shared" si="74"/>
        <v>352.5548705302096</v>
      </c>
      <c r="DT17" s="269">
        <f t="shared" si="75"/>
        <v>4.2082628533524159E-2</v>
      </c>
      <c r="DU17" s="268">
        <f t="shared" si="76"/>
        <v>253.43526510480888</v>
      </c>
      <c r="DV17" s="264">
        <f t="shared" si="2"/>
        <v>1.9006018371150845E-3</v>
      </c>
      <c r="DW17" s="265">
        <f t="shared" si="3"/>
        <v>11.446041923551171</v>
      </c>
      <c r="DX17" s="264">
        <f t="shared" si="77"/>
        <v>6.5734285259104496E-5</v>
      </c>
      <c r="DY17" s="270">
        <f t="shared" si="78"/>
        <v>5.4830658096216663E-5</v>
      </c>
      <c r="DZ17" s="270">
        <f t="shared" si="79"/>
        <v>5.6919326698581831E-5</v>
      </c>
      <c r="EA17" s="265">
        <f t="shared" si="80"/>
        <v>0.34278668310727495</v>
      </c>
      <c r="EB17" s="273">
        <f>IFERROR(VLOOKUP(A17,'BARNET SCHS PUPIL PREMIUM Nos'!$E$31:$V$117,17,0),0)</f>
        <v>139</v>
      </c>
      <c r="EC17" s="258">
        <f>IFERROR(VLOOKUP(A17,CFR20212022_BenchMarkDataReport!$B$4:$CL$90,36,0),0)</f>
        <v>0</v>
      </c>
      <c r="ED17" s="258">
        <f>IFERROR(VLOOKUP(A17,CFR20212022_BenchMarkDataReport!$B$4:$CL$90,37,0),0)</f>
        <v>9398.36</v>
      </c>
      <c r="EE17" s="258">
        <f>IFERROR(VLOOKUP(A17,CFR20212022_BenchMarkDataReport!$B$4:$CL$90,38,0),0)</f>
        <v>39490.93</v>
      </c>
      <c r="EF17" s="258">
        <f>IFERROR(VLOOKUP(A17,CFR20212022_BenchMarkDataReport!$B$4:$CL$90,39,0),0)</f>
        <v>51899</v>
      </c>
      <c r="EG17" s="227"/>
    </row>
    <row r="18" spans="1:137" s="5" customFormat="1">
      <c r="A18" s="293">
        <v>3511</v>
      </c>
      <c r="B18" s="294">
        <v>10115</v>
      </c>
      <c r="C18" s="293" t="s">
        <v>39</v>
      </c>
      <c r="D18" s="258">
        <f>IFERROR(VLOOKUP(A18,CFR20212022_BenchMarkDataReport!$B$4:$CL$90,19,0),0)</f>
        <v>2225972.39</v>
      </c>
      <c r="E18" s="258">
        <f>IFERROR(VLOOKUP(A18,CFR20212022_BenchMarkDataReport!$B$4:$CL$90,20,0),0)</f>
        <v>0</v>
      </c>
      <c r="F18" s="258">
        <f>IFERROR(VLOOKUP(A18,CFR20212022_BenchMarkDataReport!$B$4:$CL$90,21,0),0)</f>
        <v>27825.09</v>
      </c>
      <c r="G18" s="258">
        <f>IFERROR(VLOOKUP(A18,CFR20212022_BenchMarkDataReport!$B$4:$CL$90,22,0),0)</f>
        <v>0</v>
      </c>
      <c r="H18" s="258">
        <f>IFERROR(VLOOKUP(A18,CFR20212022_BenchMarkDataReport!$B$4:$CL$90,23,0),0)</f>
        <v>148914.85</v>
      </c>
      <c r="I18" s="258">
        <f>IFERROR(VLOOKUP(A18,CFR20212022_BenchMarkDataReport!$B$4:$CL$90,24,0),0)</f>
        <v>0</v>
      </c>
      <c r="J18" s="258">
        <f>IFERROR(VLOOKUP(A18,CFR20212022_BenchMarkDataReport!$B$4:$CL$90,25,0),0)</f>
        <v>16212.8</v>
      </c>
      <c r="K18" s="258">
        <f>IFERROR(VLOOKUP(A18,CFR20212022_BenchMarkDataReport!$B$4:$CL$90,26,0),0)</f>
        <v>0</v>
      </c>
      <c r="L18" s="258">
        <f>IFERROR(VLOOKUP(A18,CFR20212022_BenchMarkDataReport!$B$4:$CL$90,27,0),0)</f>
        <v>45703.76</v>
      </c>
      <c r="M18" s="258">
        <f>IFERROR(VLOOKUP(A18,CFR20212022_BenchMarkDataReport!$B$4:$CL$90,28,0),0)</f>
        <v>35592.31</v>
      </c>
      <c r="N18" s="258">
        <f>IFERROR(VLOOKUP(A18,CFR20212022_BenchMarkDataReport!$B$4:$CL$90,29,0),0)</f>
        <v>0</v>
      </c>
      <c r="O18" s="258">
        <f>IFERROR(VLOOKUP(A18,CFR20212022_BenchMarkDataReport!$B$4:$CL$90,30,0),0)</f>
        <v>1900</v>
      </c>
      <c r="P18" s="258">
        <f>IFERROR(VLOOKUP(A18,CFR20212022_BenchMarkDataReport!$B$4:$CL$90,31,0),0)</f>
        <v>40331.85</v>
      </c>
      <c r="Q18" s="258">
        <f>IFERROR(VLOOKUP(A18,CFR20212022_BenchMarkDataReport!$B$4:$CL$90,32,0),0)</f>
        <v>6441.12</v>
      </c>
      <c r="R18" s="258">
        <f>IFERROR(VLOOKUP(A18,CFR20212022_BenchMarkDataReport!$B$4:$CL$90,33,0),0)</f>
        <v>0</v>
      </c>
      <c r="S18" s="258">
        <f>IFERROR(VLOOKUP(A18,CFR20212022_BenchMarkDataReport!$B$4:$CL$90,34,0),0)</f>
        <v>0</v>
      </c>
      <c r="T18" s="258">
        <f>IFERROR(VLOOKUP(A18,CFR20212022_BenchMarkDataReport!$B$4:$CL$90,35,0),0)</f>
        <v>0</v>
      </c>
      <c r="U18" s="258">
        <f t="shared" si="0"/>
        <v>94952.55</v>
      </c>
      <c r="V18" s="258">
        <f>IFERROR(VLOOKUP(A18,CFR20212022_BenchMarkDataReport!$B$4:$CL$90,40,0),0)</f>
        <v>1103654.4099999999</v>
      </c>
      <c r="W18" s="258">
        <f>IFERROR(VLOOKUP(A18,CFR20212022_BenchMarkDataReport!$B$4:$CL$90,41,0),0)</f>
        <v>0</v>
      </c>
      <c r="X18" s="258">
        <f>IFERROR(VLOOKUP(A18,CFR20212022_BenchMarkDataReport!$B$4:$CL$90,42,0),0)</f>
        <v>510122.64</v>
      </c>
      <c r="Y18" s="258">
        <f>IFERROR(VLOOKUP(A18,CFR20212022_BenchMarkDataReport!$B$4:$CL$90,43,0),0)</f>
        <v>41267.629999999997</v>
      </c>
      <c r="Z18" s="258">
        <f>IFERROR(VLOOKUP(A18,CFR20212022_BenchMarkDataReport!$B$4:$CL$90,44,0),0)</f>
        <v>155337.68</v>
      </c>
      <c r="AA18" s="258">
        <f>IFERROR(VLOOKUP(A18,CFR20212022_BenchMarkDataReport!$B$4:$CL$90,45,0),0)</f>
        <v>0</v>
      </c>
      <c r="AB18" s="258">
        <f>IFERROR(VLOOKUP(A18,CFR20212022_BenchMarkDataReport!$B$4:$CL$90,46,0),0)</f>
        <v>11671.73</v>
      </c>
      <c r="AC18" s="258">
        <f>IFERROR(VLOOKUP(A18,CFR20212022_BenchMarkDataReport!$B$4:$CL$90,47,0),0)</f>
        <v>1756.47</v>
      </c>
      <c r="AD18" s="258">
        <f>IFERROR(VLOOKUP(A18,CFR20212022_BenchMarkDataReport!$B$4:$CL$90,48,0),0)</f>
        <v>11143.61</v>
      </c>
      <c r="AE18" s="258">
        <f>IFERROR(VLOOKUP(A18,CFR20212022_BenchMarkDataReport!$B$4:$CL$90,49,0),0)</f>
        <v>13199.96</v>
      </c>
      <c r="AF18" s="258">
        <f>IFERROR(VLOOKUP(A18,CFR20212022_BenchMarkDataReport!$B$4:$CL$90,50,0),0)</f>
        <v>0</v>
      </c>
      <c r="AG18" s="258">
        <f>IFERROR(VLOOKUP(A18,CFR20212022_BenchMarkDataReport!$B$4:$CL$90,51,0),0)</f>
        <v>9296.17</v>
      </c>
      <c r="AH18" s="258">
        <f>IFERROR(VLOOKUP(A18,CFR20212022_BenchMarkDataReport!$B$4:$CL$90,52,0),0)</f>
        <v>1281.1300000000001</v>
      </c>
      <c r="AI18" s="258">
        <f>IFERROR(VLOOKUP(A18,CFR20212022_BenchMarkDataReport!$B$4:$CL$90,53,0),0)</f>
        <v>48524.21</v>
      </c>
      <c r="AJ18" s="258">
        <f>IFERROR(VLOOKUP(A18,CFR20212022_BenchMarkDataReport!$B$4:$CL$90,54,0),0)</f>
        <v>4005.4</v>
      </c>
      <c r="AK18" s="258">
        <f>IFERROR(VLOOKUP(A18,CFR20212022_BenchMarkDataReport!$B$4:$CL$90,55,0),0)</f>
        <v>30779.07</v>
      </c>
      <c r="AL18" s="258">
        <f>IFERROR(VLOOKUP(A18,CFR20212022_BenchMarkDataReport!$B$4:$CL$90,56,0),0)</f>
        <v>4214</v>
      </c>
      <c r="AM18" s="258">
        <f>IFERROR(VLOOKUP(A18,CFR20212022_BenchMarkDataReport!$B$4:$CL$90,57,0),0)</f>
        <v>9874.4699999999993</v>
      </c>
      <c r="AN18" s="258">
        <f>IFERROR(VLOOKUP(A18,CFR20212022_BenchMarkDataReport!$B$4:$CL$90,58,0),0)</f>
        <v>76991.78</v>
      </c>
      <c r="AO18" s="258">
        <f>IFERROR(VLOOKUP(A18,CFR20212022_BenchMarkDataReport!$B$4:$CL$90,59,0),0)</f>
        <v>25271.56</v>
      </c>
      <c r="AP18" s="258">
        <f>IFERROR(VLOOKUP(A18,CFR20212022_BenchMarkDataReport!$B$4:$CL$90,60,0),0)</f>
        <v>0</v>
      </c>
      <c r="AQ18" s="258">
        <f>IFERROR(VLOOKUP(A18,CFR20212022_BenchMarkDataReport!$B$4:$CL$90,61,0),0)</f>
        <v>19343.509999999998</v>
      </c>
      <c r="AR18" s="258">
        <f>IFERROR(VLOOKUP(A18,CFR20212022_BenchMarkDataReport!$B$4:$CL$90,62,0),0)</f>
        <v>20226.59</v>
      </c>
      <c r="AS18" s="258">
        <f>IFERROR(VLOOKUP(A18,CFR20212022_BenchMarkDataReport!$B$4:$CL$90,63,0),0)</f>
        <v>35067.980000000003</v>
      </c>
      <c r="AT18" s="258">
        <f>IFERROR(VLOOKUP(A18,CFR20212022_BenchMarkDataReport!$B$4:$CL$90,64,0),0)</f>
        <v>121137.07</v>
      </c>
      <c r="AU18" s="258">
        <f>IFERROR(VLOOKUP(A18,CFR20212022_BenchMarkDataReport!$B$4:$CL$90,65,0),0)</f>
        <v>136219.22</v>
      </c>
      <c r="AV18" s="258">
        <f>IFERROR(VLOOKUP(A18,CFR20212022_BenchMarkDataReport!$B$4:$CL$90,66,0),0)</f>
        <v>155748.4</v>
      </c>
      <c r="AW18" s="258">
        <f>IFERROR(VLOOKUP(A18,CFR20212022_BenchMarkDataReport!$B$4:$CL$90,67,0),0)</f>
        <v>30527.52</v>
      </c>
      <c r="AX18" s="258">
        <f>IFERROR(VLOOKUP(A18,CFR20212022_BenchMarkDataReport!$B$4:$CL$90,68,0),0)</f>
        <v>27</v>
      </c>
      <c r="AY18" s="258">
        <f>IFERROR(VLOOKUP(A18,CFR20212022_BenchMarkDataReport!$B$4:$CL$90,69,0),0)</f>
        <v>0</v>
      </c>
      <c r="AZ18" s="258">
        <f>IFERROR(VLOOKUP(A18,CFR20212022_BenchMarkDataReport!$B$4:$CL$90,70,0),0)</f>
        <v>0</v>
      </c>
      <c r="BA18" s="258">
        <f>IFERROR(VLOOKUP(A18,CFR20212022_BenchMarkDataReport!$B$4:$CL$90,71,0),0)</f>
        <v>0</v>
      </c>
      <c r="BB18" s="258">
        <f>IFERROR(VLOOKUP(A18,CFR20212022_BenchMarkDataReport!$B$4:$CL$90,72,0),0)</f>
        <v>0</v>
      </c>
      <c r="BC18" s="259">
        <f t="shared" si="10"/>
        <v>2643846.7199999997</v>
      </c>
      <c r="BD18" s="260">
        <f t="shared" si="11"/>
        <v>2576689.2099999995</v>
      </c>
      <c r="BE18" s="296">
        <f t="shared" si="12"/>
        <v>67157.510000000242</v>
      </c>
      <c r="BF18" s="258">
        <f>IFERROR(VLOOKUP(A18,CFR20212022_BenchMarkDataReport!$B$4:$CL$90,16,0),0)</f>
        <v>203966.84</v>
      </c>
      <c r="BG18" s="296">
        <f t="shared" si="13"/>
        <v>271124.35000000021</v>
      </c>
      <c r="BH18" s="261">
        <f>IFERROR(VLOOKUP(A18,'Pupil Nos BenchmarkData 21-22'!$A$6:$E$94,5,0),0)</f>
        <v>439.5</v>
      </c>
      <c r="BI18" s="260">
        <f t="shared" si="1"/>
        <v>2253797.48</v>
      </c>
      <c r="BJ18" s="227" t="s">
        <v>183</v>
      </c>
      <c r="BK18" s="262">
        <f t="shared" si="14"/>
        <v>0.84194457006947832</v>
      </c>
      <c r="BL18" s="263">
        <f t="shared" si="15"/>
        <v>5064.7835949943119</v>
      </c>
      <c r="BM18" s="264">
        <f t="shared" si="16"/>
        <v>0</v>
      </c>
      <c r="BN18" s="265">
        <f t="shared" si="17"/>
        <v>0</v>
      </c>
      <c r="BO18" s="262">
        <f t="shared" si="18"/>
        <v>1.0524471706135824E-2</v>
      </c>
      <c r="BP18" s="263">
        <f t="shared" si="19"/>
        <v>63.310784982935154</v>
      </c>
      <c r="BQ18" s="264">
        <f t="shared" si="20"/>
        <v>0</v>
      </c>
      <c r="BR18" s="265">
        <f t="shared" si="21"/>
        <v>0</v>
      </c>
      <c r="BS18" s="262">
        <f t="shared" si="22"/>
        <v>5.6325069404931316E-2</v>
      </c>
      <c r="BT18" s="263">
        <f t="shared" si="23"/>
        <v>338.8278725824801</v>
      </c>
      <c r="BU18" s="264">
        <f t="shared" si="24"/>
        <v>0</v>
      </c>
      <c r="BV18" s="265">
        <f t="shared" si="25"/>
        <v>0</v>
      </c>
      <c r="BW18" s="262">
        <f t="shared" si="26"/>
        <v>6.1322768363818005E-3</v>
      </c>
      <c r="BX18" s="263">
        <f t="shared" si="27"/>
        <v>36.889192263936287</v>
      </c>
      <c r="BY18" s="264">
        <f t="shared" si="28"/>
        <v>1.7286841802992274E-2</v>
      </c>
      <c r="BZ18" s="266">
        <f t="shared" si="29"/>
        <v>103.99035267349261</v>
      </c>
      <c r="CA18" s="267">
        <f t="shared" si="30"/>
        <v>1.5254988004750896E-2</v>
      </c>
      <c r="CB18" s="268">
        <f t="shared" si="31"/>
        <v>91.767576791808864</v>
      </c>
      <c r="CC18" s="264">
        <f t="shared" si="32"/>
        <v>2.4362683174007911E-3</v>
      </c>
      <c r="CD18" s="265">
        <f t="shared" si="33"/>
        <v>14.65556313993174</v>
      </c>
      <c r="CE18" s="269">
        <f t="shared" si="34"/>
        <v>0.5501264603419469</v>
      </c>
      <c r="CF18" s="267">
        <f t="shared" si="35"/>
        <v>0.46896577650310983</v>
      </c>
      <c r="CG18" s="267">
        <f t="shared" si="36"/>
        <v>0.48118866069998412</v>
      </c>
      <c r="CH18" s="268">
        <f t="shared" si="37"/>
        <v>2821.1004095563139</v>
      </c>
      <c r="CI18" s="264">
        <f t="shared" si="38"/>
        <v>0.22633916513208632</v>
      </c>
      <c r="CJ18" s="270">
        <f t="shared" si="39"/>
        <v>0.19294713121644211</v>
      </c>
      <c r="CK18" s="270">
        <f t="shared" si="40"/>
        <v>0.19797600658249356</v>
      </c>
      <c r="CL18" s="271">
        <f t="shared" si="41"/>
        <v>1160.6886006825939</v>
      </c>
      <c r="CM18" s="269">
        <f t="shared" si="42"/>
        <v>1.8310265392611939E-2</v>
      </c>
      <c r="CN18" s="267">
        <f t="shared" si="43"/>
        <v>1.5608934393897086E-2</v>
      </c>
      <c r="CO18" s="267">
        <f t="shared" si="44"/>
        <v>1.6015757678435733E-2</v>
      </c>
      <c r="CP18" s="268">
        <f t="shared" si="45"/>
        <v>93.896769055745153</v>
      </c>
      <c r="CQ18" s="264">
        <f t="shared" si="46"/>
        <v>6.892264339562576E-2</v>
      </c>
      <c r="CR18" s="270">
        <f t="shared" si="47"/>
        <v>5.8754419772111453E-2</v>
      </c>
      <c r="CS18" s="270">
        <f t="shared" si="48"/>
        <v>6.0285764925448661E-2</v>
      </c>
      <c r="CT18" s="265">
        <f t="shared" si="49"/>
        <v>353.44182025028442</v>
      </c>
      <c r="CU18" s="269">
        <f t="shared" si="50"/>
        <v>0.80843736234898955</v>
      </c>
      <c r="CV18" s="267">
        <f t="shared" si="51"/>
        <v>0.68916782361724804</v>
      </c>
      <c r="CW18" s="267">
        <f t="shared" si="52"/>
        <v>0.70712994137154783</v>
      </c>
      <c r="CX18" s="268">
        <f t="shared" si="53"/>
        <v>4145.7430944254829</v>
      </c>
      <c r="CY18" s="264">
        <f t="shared" si="54"/>
        <v>4.1246696220460771E-3</v>
      </c>
      <c r="CZ18" s="270">
        <f t="shared" si="55"/>
        <v>3.6077963783610525E-3</v>
      </c>
      <c r="DA18" s="265">
        <f t="shared" si="56"/>
        <v>21.151695108077362</v>
      </c>
      <c r="DB18" s="269">
        <f t="shared" si="57"/>
        <v>1.5544754037294241E-3</v>
      </c>
      <c r="DC18" s="268">
        <f t="shared" si="58"/>
        <v>9.11353811149033</v>
      </c>
      <c r="DD18" s="264">
        <f t="shared" si="59"/>
        <v>1.3656537587396716E-2</v>
      </c>
      <c r="DE18" s="270">
        <f t="shared" si="60"/>
        <v>1.1945200795093175E-2</v>
      </c>
      <c r="DF18" s="265">
        <f t="shared" si="61"/>
        <v>70.032013651877136</v>
      </c>
      <c r="DG18" s="269">
        <f t="shared" si="62"/>
        <v>4.3812587810684745E-3</v>
      </c>
      <c r="DH18" s="267">
        <f t="shared" si="63"/>
        <v>3.8322316722085399E-3</v>
      </c>
      <c r="DI18" s="272">
        <f t="shared" si="64"/>
        <v>22.467508532423206</v>
      </c>
      <c r="DJ18" s="264">
        <f t="shared" si="65"/>
        <v>3.4160913162437294E-2</v>
      </c>
      <c r="DK18" s="270">
        <f t="shared" si="66"/>
        <v>2.912112090976288E-2</v>
      </c>
      <c r="DL18" s="270">
        <f t="shared" si="67"/>
        <v>2.988011891430244E-2</v>
      </c>
      <c r="DM18" s="265">
        <f t="shared" si="68"/>
        <v>175.18038680318543</v>
      </c>
      <c r="DN18" s="269">
        <f t="shared" si="69"/>
        <v>8.5826300595561941E-3</v>
      </c>
      <c r="DO18" s="267">
        <f t="shared" si="70"/>
        <v>7.5071180198717103E-3</v>
      </c>
      <c r="DP18" s="268">
        <f t="shared" si="71"/>
        <v>44.012536973833896</v>
      </c>
      <c r="DQ18" s="264">
        <f t="shared" si="72"/>
        <v>6.9104878047871451E-2</v>
      </c>
      <c r="DR18" s="270">
        <f t="shared" si="73"/>
        <v>6.0445163272135574E-2</v>
      </c>
      <c r="DS18" s="265">
        <f t="shared" si="74"/>
        <v>354.37633674630263</v>
      </c>
      <c r="DT18" s="269">
        <f t="shared" si="75"/>
        <v>4.7012681828244252E-2</v>
      </c>
      <c r="DU18" s="268">
        <f t="shared" si="76"/>
        <v>275.62473265073947</v>
      </c>
      <c r="DV18" s="264">
        <f t="shared" si="2"/>
        <v>1.8831999533230479E-2</v>
      </c>
      <c r="DW18" s="265">
        <f t="shared" si="3"/>
        <v>110.40775881683732</v>
      </c>
      <c r="DX18" s="264">
        <f t="shared" si="77"/>
        <v>4.5256950061014359E-5</v>
      </c>
      <c r="DY18" s="270">
        <f t="shared" si="78"/>
        <v>3.8580148852199724E-5</v>
      </c>
      <c r="DZ18" s="270">
        <f t="shared" si="79"/>
        <v>3.9585682124232601E-5</v>
      </c>
      <c r="EA18" s="265">
        <f t="shared" si="80"/>
        <v>0.23208191126279865</v>
      </c>
      <c r="EB18" s="273">
        <f>IFERROR(VLOOKUP(A18,'BARNET SCHS PUPIL PREMIUM Nos'!$E$31:$V$117,17,0),0)</f>
        <v>102</v>
      </c>
      <c r="EC18" s="258">
        <f>IFERROR(VLOOKUP(A18,CFR20212022_BenchMarkDataReport!$B$4:$CL$90,36,0),0)</f>
        <v>0</v>
      </c>
      <c r="ED18" s="258">
        <f>IFERROR(VLOOKUP(A18,CFR20212022_BenchMarkDataReport!$B$4:$CL$90,37,0),0)</f>
        <v>0</v>
      </c>
      <c r="EE18" s="258">
        <f>IFERROR(VLOOKUP(A18,CFR20212022_BenchMarkDataReport!$B$4:$CL$90,38,0),0)</f>
        <v>28226.880000000001</v>
      </c>
      <c r="EF18" s="258">
        <f>IFERROR(VLOOKUP(A18,CFR20212022_BenchMarkDataReport!$B$4:$CL$90,39,0),0)</f>
        <v>66725.67</v>
      </c>
      <c r="EG18" s="227"/>
    </row>
    <row r="19" spans="1:137" s="5" customFormat="1" ht="12.75" customHeight="1">
      <c r="A19" s="293">
        <v>2008</v>
      </c>
      <c r="B19" s="294">
        <v>10047</v>
      </c>
      <c r="C19" s="293" t="s">
        <v>40</v>
      </c>
      <c r="D19" s="258">
        <f>IFERROR(VLOOKUP(A19,CFR20212022_BenchMarkDataReport!$B$4:$CL$90,19,0),0)</f>
        <v>1485006.17</v>
      </c>
      <c r="E19" s="258">
        <f>IFERROR(VLOOKUP(A19,CFR20212022_BenchMarkDataReport!$B$4:$CL$90,20,0),0)</f>
        <v>0</v>
      </c>
      <c r="F19" s="258">
        <f>IFERROR(VLOOKUP(A19,CFR20212022_BenchMarkDataReport!$B$4:$CL$90,21,0),0)</f>
        <v>102804.79</v>
      </c>
      <c r="G19" s="258">
        <f>IFERROR(VLOOKUP(A19,CFR20212022_BenchMarkDataReport!$B$4:$CL$90,22,0),0)</f>
        <v>0</v>
      </c>
      <c r="H19" s="258">
        <f>IFERROR(VLOOKUP(A19,CFR20212022_BenchMarkDataReport!$B$4:$CL$90,23,0),0)</f>
        <v>62524.98</v>
      </c>
      <c r="I19" s="258">
        <f>IFERROR(VLOOKUP(A19,CFR20212022_BenchMarkDataReport!$B$4:$CL$90,24,0),0)</f>
        <v>13991.5</v>
      </c>
      <c r="J19" s="258">
        <f>IFERROR(VLOOKUP(A19,CFR20212022_BenchMarkDataReport!$B$4:$CL$90,25,0),0)</f>
        <v>0</v>
      </c>
      <c r="K19" s="258">
        <f>IFERROR(VLOOKUP(A19,CFR20212022_BenchMarkDataReport!$B$4:$CL$90,26,0),0)</f>
        <v>32607.38</v>
      </c>
      <c r="L19" s="258">
        <f>IFERROR(VLOOKUP(A19,CFR20212022_BenchMarkDataReport!$B$4:$CL$90,27,0),0)</f>
        <v>78247.75</v>
      </c>
      <c r="M19" s="258">
        <f>IFERROR(VLOOKUP(A19,CFR20212022_BenchMarkDataReport!$B$4:$CL$90,28,0),0)</f>
        <v>8605.09</v>
      </c>
      <c r="N19" s="258">
        <f>IFERROR(VLOOKUP(A19,CFR20212022_BenchMarkDataReport!$B$4:$CL$90,29,0),0)</f>
        <v>19296</v>
      </c>
      <c r="O19" s="258">
        <f>IFERROR(VLOOKUP(A19,CFR20212022_BenchMarkDataReport!$B$4:$CL$90,30,0),0)</f>
        <v>0</v>
      </c>
      <c r="P19" s="258">
        <f>IFERROR(VLOOKUP(A19,CFR20212022_BenchMarkDataReport!$B$4:$CL$90,31,0),0)</f>
        <v>13500</v>
      </c>
      <c r="Q19" s="258">
        <f>IFERROR(VLOOKUP(A19,CFR20212022_BenchMarkDataReport!$B$4:$CL$90,32,0),0)</f>
        <v>19319.11</v>
      </c>
      <c r="R19" s="258">
        <f>IFERROR(VLOOKUP(A19,CFR20212022_BenchMarkDataReport!$B$4:$CL$90,33,0),0)</f>
        <v>0</v>
      </c>
      <c r="S19" s="258">
        <f>IFERROR(VLOOKUP(A19,CFR20212022_BenchMarkDataReport!$B$4:$CL$90,34,0),0)</f>
        <v>0</v>
      </c>
      <c r="T19" s="258">
        <f>IFERROR(VLOOKUP(A19,CFR20212022_BenchMarkDataReport!$B$4:$CL$90,35,0),0)</f>
        <v>0</v>
      </c>
      <c r="U19" s="258">
        <f t="shared" si="0"/>
        <v>146026.21</v>
      </c>
      <c r="V19" s="258">
        <f>IFERROR(VLOOKUP(A19,CFR20212022_BenchMarkDataReport!$B$4:$CL$90,40,0),0)</f>
        <v>895727.73</v>
      </c>
      <c r="W19" s="258">
        <f>IFERROR(VLOOKUP(A19,CFR20212022_BenchMarkDataReport!$B$4:$CL$90,41,0),0)</f>
        <v>0</v>
      </c>
      <c r="X19" s="258">
        <f>IFERROR(VLOOKUP(A19,CFR20212022_BenchMarkDataReport!$B$4:$CL$90,42,0),0)</f>
        <v>494600</v>
      </c>
      <c r="Y19" s="258">
        <f>IFERROR(VLOOKUP(A19,CFR20212022_BenchMarkDataReport!$B$4:$CL$90,43,0),0)</f>
        <v>44553.71</v>
      </c>
      <c r="Z19" s="258">
        <f>IFERROR(VLOOKUP(A19,CFR20212022_BenchMarkDataReport!$B$4:$CL$90,44,0),0)</f>
        <v>74426.39</v>
      </c>
      <c r="AA19" s="258">
        <f>IFERROR(VLOOKUP(A19,CFR20212022_BenchMarkDataReport!$B$4:$CL$90,45,0),0)</f>
        <v>0</v>
      </c>
      <c r="AB19" s="258">
        <f>IFERROR(VLOOKUP(A19,CFR20212022_BenchMarkDataReport!$B$4:$CL$90,46,0),0)</f>
        <v>26891.55</v>
      </c>
      <c r="AC19" s="258">
        <f>IFERROR(VLOOKUP(A19,CFR20212022_BenchMarkDataReport!$B$4:$CL$90,47,0),0)</f>
        <v>8522.2800000000007</v>
      </c>
      <c r="AD19" s="258">
        <f>IFERROR(VLOOKUP(A19,CFR20212022_BenchMarkDataReport!$B$4:$CL$90,48,0),0)</f>
        <v>4012.5</v>
      </c>
      <c r="AE19" s="258">
        <f>IFERROR(VLOOKUP(A19,CFR20212022_BenchMarkDataReport!$B$4:$CL$90,49,0),0)</f>
        <v>20255.080000000002</v>
      </c>
      <c r="AF19" s="258">
        <f>IFERROR(VLOOKUP(A19,CFR20212022_BenchMarkDataReport!$B$4:$CL$90,50,0),0)</f>
        <v>0</v>
      </c>
      <c r="AG19" s="258">
        <f>IFERROR(VLOOKUP(A19,CFR20212022_BenchMarkDataReport!$B$4:$CL$90,51,0),0)</f>
        <v>11496.48</v>
      </c>
      <c r="AH19" s="258">
        <f>IFERROR(VLOOKUP(A19,CFR20212022_BenchMarkDataReport!$B$4:$CL$90,52,0),0)</f>
        <v>4400.17</v>
      </c>
      <c r="AI19" s="258">
        <f>IFERROR(VLOOKUP(A19,CFR20212022_BenchMarkDataReport!$B$4:$CL$90,53,0),0)</f>
        <v>19074.88</v>
      </c>
      <c r="AJ19" s="258">
        <f>IFERROR(VLOOKUP(A19,CFR20212022_BenchMarkDataReport!$B$4:$CL$90,54,0),0)</f>
        <v>5521.74</v>
      </c>
      <c r="AK19" s="258">
        <f>IFERROR(VLOOKUP(A19,CFR20212022_BenchMarkDataReport!$B$4:$CL$90,55,0),0)</f>
        <v>17145.740000000002</v>
      </c>
      <c r="AL19" s="258">
        <f>IFERROR(VLOOKUP(A19,CFR20212022_BenchMarkDataReport!$B$4:$CL$90,56,0),0)</f>
        <v>20083</v>
      </c>
      <c r="AM19" s="258">
        <f>IFERROR(VLOOKUP(A19,CFR20212022_BenchMarkDataReport!$B$4:$CL$90,57,0),0)</f>
        <v>8525.2199999999993</v>
      </c>
      <c r="AN19" s="258">
        <f>IFERROR(VLOOKUP(A19,CFR20212022_BenchMarkDataReport!$B$4:$CL$90,58,0),0)</f>
        <v>43107.96</v>
      </c>
      <c r="AO19" s="258">
        <f>IFERROR(VLOOKUP(A19,CFR20212022_BenchMarkDataReport!$B$4:$CL$90,59,0),0)</f>
        <v>12681.03</v>
      </c>
      <c r="AP19" s="258">
        <f>IFERROR(VLOOKUP(A19,CFR20212022_BenchMarkDataReport!$B$4:$CL$90,60,0),0)</f>
        <v>0</v>
      </c>
      <c r="AQ19" s="258">
        <f>IFERROR(VLOOKUP(A19,CFR20212022_BenchMarkDataReport!$B$4:$CL$90,61,0),0)</f>
        <v>10196.209999999999</v>
      </c>
      <c r="AR19" s="258">
        <f>IFERROR(VLOOKUP(A19,CFR20212022_BenchMarkDataReport!$B$4:$CL$90,62,0),0)</f>
        <v>8314.0300000000007</v>
      </c>
      <c r="AS19" s="258">
        <f>IFERROR(VLOOKUP(A19,CFR20212022_BenchMarkDataReport!$B$4:$CL$90,63,0),0)</f>
        <v>10415.31</v>
      </c>
      <c r="AT19" s="258">
        <f>IFERROR(VLOOKUP(A19,CFR20212022_BenchMarkDataReport!$B$4:$CL$90,64,0),0)</f>
        <v>87102.080000000002</v>
      </c>
      <c r="AU19" s="258">
        <f>IFERROR(VLOOKUP(A19,CFR20212022_BenchMarkDataReport!$B$4:$CL$90,65,0),0)</f>
        <v>26069.5</v>
      </c>
      <c r="AV19" s="258">
        <f>IFERROR(VLOOKUP(A19,CFR20212022_BenchMarkDataReport!$B$4:$CL$90,66,0),0)</f>
        <v>95074.45</v>
      </c>
      <c r="AW19" s="258">
        <f>IFERROR(VLOOKUP(A19,CFR20212022_BenchMarkDataReport!$B$4:$CL$90,67,0),0)</f>
        <v>27541.41</v>
      </c>
      <c r="AX19" s="258">
        <f>IFERROR(VLOOKUP(A19,CFR20212022_BenchMarkDataReport!$B$4:$CL$90,68,0),0)</f>
        <v>200</v>
      </c>
      <c r="AY19" s="258">
        <f>IFERROR(VLOOKUP(A19,CFR20212022_BenchMarkDataReport!$B$4:$CL$90,69,0),0)</f>
        <v>0</v>
      </c>
      <c r="AZ19" s="258">
        <f>IFERROR(VLOOKUP(A19,CFR20212022_BenchMarkDataReport!$B$4:$CL$90,70,0),0)</f>
        <v>7858</v>
      </c>
      <c r="BA19" s="258">
        <f>IFERROR(VLOOKUP(A19,CFR20212022_BenchMarkDataReport!$B$4:$CL$90,71,0),0)</f>
        <v>0</v>
      </c>
      <c r="BB19" s="258">
        <f>IFERROR(VLOOKUP(A19,CFR20212022_BenchMarkDataReport!$B$4:$CL$90,72,0),0)</f>
        <v>0</v>
      </c>
      <c r="BC19" s="259">
        <f t="shared" si="10"/>
        <v>1981928.98</v>
      </c>
      <c r="BD19" s="260">
        <f t="shared" si="11"/>
        <v>1983796.4499999997</v>
      </c>
      <c r="BE19" s="296">
        <f t="shared" si="12"/>
        <v>-1867.4699999997392</v>
      </c>
      <c r="BF19" s="258">
        <f>IFERROR(VLOOKUP(A19,CFR20212022_BenchMarkDataReport!$B$4:$CL$90,16,0),0)</f>
        <v>91871.51</v>
      </c>
      <c r="BG19" s="296">
        <f t="shared" si="13"/>
        <v>90004.040000000256</v>
      </c>
      <c r="BH19" s="261">
        <f>IFERROR(VLOOKUP(A19,'Pupil Nos BenchmarkData 21-22'!$A$6:$E$94,5,0),0)</f>
        <v>303.5</v>
      </c>
      <c r="BI19" s="260">
        <f t="shared" si="1"/>
        <v>1587810.96</v>
      </c>
      <c r="BJ19" s="227" t="s">
        <v>183</v>
      </c>
      <c r="BK19" s="262">
        <f t="shared" si="14"/>
        <v>0.74927315003991712</v>
      </c>
      <c r="BL19" s="263">
        <f t="shared" si="15"/>
        <v>4892.9363097199339</v>
      </c>
      <c r="BM19" s="264">
        <f t="shared" si="16"/>
        <v>0</v>
      </c>
      <c r="BN19" s="265">
        <f t="shared" si="17"/>
        <v>0</v>
      </c>
      <c r="BO19" s="262">
        <f t="shared" si="18"/>
        <v>5.1871076631615727E-2</v>
      </c>
      <c r="BP19" s="263">
        <f t="shared" si="19"/>
        <v>338.73077429983522</v>
      </c>
      <c r="BQ19" s="264">
        <f t="shared" si="20"/>
        <v>0</v>
      </c>
      <c r="BR19" s="265">
        <f t="shared" si="21"/>
        <v>0</v>
      </c>
      <c r="BS19" s="262">
        <f t="shared" si="22"/>
        <v>3.1547538095941262E-2</v>
      </c>
      <c r="BT19" s="263">
        <f t="shared" si="23"/>
        <v>206.01311367380561</v>
      </c>
      <c r="BU19" s="264">
        <f t="shared" si="24"/>
        <v>7.0595365127563755E-3</v>
      </c>
      <c r="BV19" s="265">
        <f t="shared" si="25"/>
        <v>46.100494233937397</v>
      </c>
      <c r="BW19" s="262">
        <f t="shared" si="26"/>
        <v>0</v>
      </c>
      <c r="BX19" s="263">
        <f t="shared" si="27"/>
        <v>0</v>
      </c>
      <c r="BY19" s="264">
        <f t="shared" si="28"/>
        <v>5.5932947708348259E-2</v>
      </c>
      <c r="BZ19" s="266">
        <f t="shared" si="29"/>
        <v>365.25578253706755</v>
      </c>
      <c r="CA19" s="267">
        <f t="shared" si="30"/>
        <v>6.8115457901019236E-3</v>
      </c>
      <c r="CB19" s="268">
        <f t="shared" si="31"/>
        <v>44.481054365733115</v>
      </c>
      <c r="CC19" s="264">
        <f t="shared" si="32"/>
        <v>9.7476298065937769E-3</v>
      </c>
      <c r="CD19" s="265">
        <f t="shared" si="33"/>
        <v>63.654398682042839</v>
      </c>
      <c r="CE19" s="269">
        <f t="shared" si="34"/>
        <v>0.58054595491644678</v>
      </c>
      <c r="CF19" s="267">
        <f t="shared" si="35"/>
        <v>0.4651010400988233</v>
      </c>
      <c r="CG19" s="267">
        <f t="shared" si="36"/>
        <v>0.46466321179272202</v>
      </c>
      <c r="CH19" s="268">
        <f t="shared" si="37"/>
        <v>3037.2231630971992</v>
      </c>
      <c r="CI19" s="264">
        <f t="shared" si="38"/>
        <v>0.3114980387841636</v>
      </c>
      <c r="CJ19" s="270">
        <f t="shared" si="39"/>
        <v>0.2495548553914379</v>
      </c>
      <c r="CK19" s="270">
        <f t="shared" si="40"/>
        <v>0.24931993400835054</v>
      </c>
      <c r="CL19" s="271">
        <f t="shared" si="41"/>
        <v>1629.654036243822</v>
      </c>
      <c r="CM19" s="269">
        <f t="shared" si="42"/>
        <v>2.8059832764978521E-2</v>
      </c>
      <c r="CN19" s="267">
        <f t="shared" si="43"/>
        <v>2.2479973021031257E-2</v>
      </c>
      <c r="CO19" s="267">
        <f t="shared" si="44"/>
        <v>2.2458811235396659E-2</v>
      </c>
      <c r="CP19" s="268">
        <f t="shared" si="45"/>
        <v>146.79970345963756</v>
      </c>
      <c r="CQ19" s="264">
        <f t="shared" si="46"/>
        <v>4.6873583741983998E-2</v>
      </c>
      <c r="CR19" s="270">
        <f t="shared" si="47"/>
        <v>3.7552500998295109E-2</v>
      </c>
      <c r="CS19" s="270">
        <f t="shared" si="48"/>
        <v>3.7517150512090092E-2</v>
      </c>
      <c r="CT19" s="265">
        <f t="shared" si="49"/>
        <v>245.22698517298187</v>
      </c>
      <c r="CU19" s="269">
        <f t="shared" si="50"/>
        <v>0.96749513556701983</v>
      </c>
      <c r="CV19" s="267">
        <f t="shared" si="51"/>
        <v>0.77510314219231002</v>
      </c>
      <c r="CW19" s="267">
        <f t="shared" si="52"/>
        <v>0.77437348978016374</v>
      </c>
      <c r="CX19" s="268">
        <f t="shared" si="53"/>
        <v>5061.6124546952224</v>
      </c>
      <c r="CY19" s="264">
        <f t="shared" si="54"/>
        <v>7.2404589019841505E-3</v>
      </c>
      <c r="CZ19" s="270">
        <f t="shared" si="55"/>
        <v>5.7951913362885603E-3</v>
      </c>
      <c r="DA19" s="265">
        <f t="shared" si="56"/>
        <v>37.879670510708401</v>
      </c>
      <c r="DB19" s="269">
        <f t="shared" si="57"/>
        <v>2.7834206478189838E-3</v>
      </c>
      <c r="DC19" s="268">
        <f t="shared" si="58"/>
        <v>18.193542009884677</v>
      </c>
      <c r="DD19" s="264">
        <f t="shared" si="59"/>
        <v>1.0798350957345704E-2</v>
      </c>
      <c r="DE19" s="270">
        <f t="shared" si="60"/>
        <v>8.6428927725926748E-3</v>
      </c>
      <c r="DF19" s="265">
        <f t="shared" si="61"/>
        <v>56.493377265238884</v>
      </c>
      <c r="DG19" s="269">
        <f t="shared" si="62"/>
        <v>5.3691656089840814E-3</v>
      </c>
      <c r="DH19" s="267">
        <f t="shared" si="63"/>
        <v>4.2974267848901538E-3</v>
      </c>
      <c r="DI19" s="272">
        <f t="shared" si="64"/>
        <v>28.089686985172978</v>
      </c>
      <c r="DJ19" s="264">
        <f t="shared" si="65"/>
        <v>2.7149302458524406E-2</v>
      </c>
      <c r="DK19" s="270">
        <f t="shared" si="66"/>
        <v>2.1750506922806084E-2</v>
      </c>
      <c r="DL19" s="270">
        <f t="shared" si="67"/>
        <v>2.1730031828618306E-2</v>
      </c>
      <c r="DM19" s="265">
        <f t="shared" si="68"/>
        <v>142.03611202635915</v>
      </c>
      <c r="DN19" s="269">
        <f t="shared" si="69"/>
        <v>6.4215515932702716E-3</v>
      </c>
      <c r="DO19" s="267">
        <f t="shared" si="70"/>
        <v>5.1397460661853694E-3</v>
      </c>
      <c r="DP19" s="268">
        <f t="shared" si="71"/>
        <v>33.595420098846787</v>
      </c>
      <c r="DQ19" s="264">
        <f t="shared" si="72"/>
        <v>5.9877688462359524E-2</v>
      </c>
      <c r="DR19" s="270">
        <f t="shared" si="73"/>
        <v>4.7925506671816061E-2</v>
      </c>
      <c r="DS19" s="265">
        <f t="shared" si="74"/>
        <v>313.26013179571663</v>
      </c>
      <c r="DT19" s="269">
        <f t="shared" si="75"/>
        <v>4.3906762712474866E-2</v>
      </c>
      <c r="DU19" s="268">
        <f t="shared" si="76"/>
        <v>286.99202635914332</v>
      </c>
      <c r="DV19" s="264">
        <f t="shared" si="2"/>
        <v>9.6153413320202302E-3</v>
      </c>
      <c r="DW19" s="265">
        <f t="shared" si="3"/>
        <v>62.849686985172987</v>
      </c>
      <c r="DX19" s="264">
        <f t="shared" si="77"/>
        <v>2.7081309477798291E-5</v>
      </c>
      <c r="DY19" s="270">
        <f t="shared" si="78"/>
        <v>2.1696034738843164E-5</v>
      </c>
      <c r="DZ19" s="270">
        <f t="shared" si="79"/>
        <v>2.1675610922683124E-5</v>
      </c>
      <c r="EA19" s="265">
        <f t="shared" si="80"/>
        <v>0.14168039538714991</v>
      </c>
      <c r="EB19" s="273">
        <f>IFERROR(VLOOKUP(A19,'BARNET SCHS PUPIL PREMIUM Nos'!$E$31:$V$117,17,0),0)</f>
        <v>43</v>
      </c>
      <c r="EC19" s="258">
        <f>IFERROR(VLOOKUP(A19,CFR20212022_BenchMarkDataReport!$B$4:$CL$90,36,0),0)</f>
        <v>0</v>
      </c>
      <c r="ED19" s="258">
        <f>IFERROR(VLOOKUP(A19,CFR20212022_BenchMarkDataReport!$B$4:$CL$90,37,0),0)</f>
        <v>11975</v>
      </c>
      <c r="EE19" s="258">
        <f>IFERROR(VLOOKUP(A19,CFR20212022_BenchMarkDataReport!$B$4:$CL$90,38,0),0)</f>
        <v>14466.88</v>
      </c>
      <c r="EF19" s="258">
        <f>IFERROR(VLOOKUP(A19,CFR20212022_BenchMarkDataReport!$B$4:$CL$90,39,0),0)</f>
        <v>119584.33</v>
      </c>
      <c r="EG19" s="227"/>
    </row>
    <row r="20" spans="1:137" s="5" customFormat="1">
      <c r="A20" s="293">
        <v>2007</v>
      </c>
      <c r="B20" s="294">
        <v>10046</v>
      </c>
      <c r="C20" s="293" t="s">
        <v>41</v>
      </c>
      <c r="D20" s="258">
        <f>IFERROR(VLOOKUP(A20,CFR20212022_BenchMarkDataReport!$B$4:$CL$90,19,0),0)</f>
        <v>1569294.74</v>
      </c>
      <c r="E20" s="258">
        <f>IFERROR(VLOOKUP(A20,CFR20212022_BenchMarkDataReport!$B$4:$CL$90,20,0),0)</f>
        <v>0</v>
      </c>
      <c r="F20" s="258">
        <f>IFERROR(VLOOKUP(A20,CFR20212022_BenchMarkDataReport!$B$4:$CL$90,21,0),0)</f>
        <v>127170.07</v>
      </c>
      <c r="G20" s="258">
        <f>IFERROR(VLOOKUP(A20,CFR20212022_BenchMarkDataReport!$B$4:$CL$90,22,0),0)</f>
        <v>0</v>
      </c>
      <c r="H20" s="258">
        <f>IFERROR(VLOOKUP(A20,CFR20212022_BenchMarkDataReport!$B$4:$CL$90,23,0),0)</f>
        <v>98679.99</v>
      </c>
      <c r="I20" s="258">
        <f>IFERROR(VLOOKUP(A20,CFR20212022_BenchMarkDataReport!$B$4:$CL$90,24,0),0)</f>
        <v>15303</v>
      </c>
      <c r="J20" s="258">
        <f>IFERROR(VLOOKUP(A20,CFR20212022_BenchMarkDataReport!$B$4:$CL$90,25,0),0)</f>
        <v>0</v>
      </c>
      <c r="K20" s="258">
        <f>IFERROR(VLOOKUP(A20,CFR20212022_BenchMarkDataReport!$B$4:$CL$90,26,0),0)</f>
        <v>42840.19</v>
      </c>
      <c r="L20" s="258">
        <f>IFERROR(VLOOKUP(A20,CFR20212022_BenchMarkDataReport!$B$4:$CL$90,27,0),0)</f>
        <v>14591.07</v>
      </c>
      <c r="M20" s="258">
        <f>IFERROR(VLOOKUP(A20,CFR20212022_BenchMarkDataReport!$B$4:$CL$90,28,0),0)</f>
        <v>68813.350000000006</v>
      </c>
      <c r="N20" s="258">
        <f>IFERROR(VLOOKUP(A20,CFR20212022_BenchMarkDataReport!$B$4:$CL$90,29,0),0)</f>
        <v>8400</v>
      </c>
      <c r="O20" s="258">
        <f>IFERROR(VLOOKUP(A20,CFR20212022_BenchMarkDataReport!$B$4:$CL$90,30,0),0)</f>
        <v>835</v>
      </c>
      <c r="P20" s="258">
        <f>IFERROR(VLOOKUP(A20,CFR20212022_BenchMarkDataReport!$B$4:$CL$90,31,0),0)</f>
        <v>54173.89</v>
      </c>
      <c r="Q20" s="258">
        <f>IFERROR(VLOOKUP(A20,CFR20212022_BenchMarkDataReport!$B$4:$CL$90,32,0),0)</f>
        <v>22675.68</v>
      </c>
      <c r="R20" s="258">
        <f>IFERROR(VLOOKUP(A20,CFR20212022_BenchMarkDataReport!$B$4:$CL$90,33,0),0)</f>
        <v>0</v>
      </c>
      <c r="S20" s="258">
        <f>IFERROR(VLOOKUP(A20,CFR20212022_BenchMarkDataReport!$B$4:$CL$90,34,0),0)</f>
        <v>0</v>
      </c>
      <c r="T20" s="258">
        <f>IFERROR(VLOOKUP(A20,CFR20212022_BenchMarkDataReport!$B$4:$CL$90,35,0),0)</f>
        <v>0</v>
      </c>
      <c r="U20" s="258">
        <f t="shared" si="0"/>
        <v>46532.17</v>
      </c>
      <c r="V20" s="258">
        <f>IFERROR(VLOOKUP(A20,CFR20212022_BenchMarkDataReport!$B$4:$CL$90,40,0),0)</f>
        <v>1008115.18</v>
      </c>
      <c r="W20" s="258">
        <f>IFERROR(VLOOKUP(A20,CFR20212022_BenchMarkDataReport!$B$4:$CL$90,41,0),0)</f>
        <v>0</v>
      </c>
      <c r="X20" s="258">
        <f>IFERROR(VLOOKUP(A20,CFR20212022_BenchMarkDataReport!$B$4:$CL$90,42,0),0)</f>
        <v>299353.53000000003</v>
      </c>
      <c r="Y20" s="258">
        <f>IFERROR(VLOOKUP(A20,CFR20212022_BenchMarkDataReport!$B$4:$CL$90,43,0),0)</f>
        <v>48753.85</v>
      </c>
      <c r="Z20" s="258">
        <f>IFERROR(VLOOKUP(A20,CFR20212022_BenchMarkDataReport!$B$4:$CL$90,44,0),0)</f>
        <v>92809.71</v>
      </c>
      <c r="AA20" s="258">
        <f>IFERROR(VLOOKUP(A20,CFR20212022_BenchMarkDataReport!$B$4:$CL$90,45,0),0)</f>
        <v>0</v>
      </c>
      <c r="AB20" s="258">
        <f>IFERROR(VLOOKUP(A20,CFR20212022_BenchMarkDataReport!$B$4:$CL$90,46,0),0)</f>
        <v>34600.92</v>
      </c>
      <c r="AC20" s="258">
        <f>IFERROR(VLOOKUP(A20,CFR20212022_BenchMarkDataReport!$B$4:$CL$90,47,0),0)</f>
        <v>8823.0499999999993</v>
      </c>
      <c r="AD20" s="258">
        <f>IFERROR(VLOOKUP(A20,CFR20212022_BenchMarkDataReport!$B$4:$CL$90,48,0),0)</f>
        <v>4753.55</v>
      </c>
      <c r="AE20" s="258">
        <f>IFERROR(VLOOKUP(A20,CFR20212022_BenchMarkDataReport!$B$4:$CL$90,49,0),0)</f>
        <v>12512.27</v>
      </c>
      <c r="AF20" s="258">
        <f>IFERROR(VLOOKUP(A20,CFR20212022_BenchMarkDataReport!$B$4:$CL$90,50,0),0)</f>
        <v>0</v>
      </c>
      <c r="AG20" s="258">
        <f>IFERROR(VLOOKUP(A20,CFR20212022_BenchMarkDataReport!$B$4:$CL$90,51,0),0)</f>
        <v>16682.03</v>
      </c>
      <c r="AH20" s="258">
        <f>IFERROR(VLOOKUP(A20,CFR20212022_BenchMarkDataReport!$B$4:$CL$90,52,0),0)</f>
        <v>3923.18</v>
      </c>
      <c r="AI20" s="258">
        <f>IFERROR(VLOOKUP(A20,CFR20212022_BenchMarkDataReport!$B$4:$CL$90,53,0),0)</f>
        <v>26912.35</v>
      </c>
      <c r="AJ20" s="258">
        <f>IFERROR(VLOOKUP(A20,CFR20212022_BenchMarkDataReport!$B$4:$CL$90,54,0),0)</f>
        <v>7744.54</v>
      </c>
      <c r="AK20" s="258">
        <f>IFERROR(VLOOKUP(A20,CFR20212022_BenchMarkDataReport!$B$4:$CL$90,55,0),0)</f>
        <v>29024.7</v>
      </c>
      <c r="AL20" s="258">
        <f>IFERROR(VLOOKUP(A20,CFR20212022_BenchMarkDataReport!$B$4:$CL$90,56,0),0)</f>
        <v>20083</v>
      </c>
      <c r="AM20" s="258">
        <f>IFERROR(VLOOKUP(A20,CFR20212022_BenchMarkDataReport!$B$4:$CL$90,57,0),0)</f>
        <v>8790.07</v>
      </c>
      <c r="AN20" s="258">
        <f>IFERROR(VLOOKUP(A20,CFR20212022_BenchMarkDataReport!$B$4:$CL$90,58,0),0)</f>
        <v>67270.12</v>
      </c>
      <c r="AO20" s="258">
        <f>IFERROR(VLOOKUP(A20,CFR20212022_BenchMarkDataReport!$B$4:$CL$90,59,0),0)</f>
        <v>12067.13</v>
      </c>
      <c r="AP20" s="258">
        <f>IFERROR(VLOOKUP(A20,CFR20212022_BenchMarkDataReport!$B$4:$CL$90,60,0),0)</f>
        <v>0</v>
      </c>
      <c r="AQ20" s="258">
        <f>IFERROR(VLOOKUP(A20,CFR20212022_BenchMarkDataReport!$B$4:$CL$90,61,0),0)</f>
        <v>17578.939999999999</v>
      </c>
      <c r="AR20" s="258">
        <f>IFERROR(VLOOKUP(A20,CFR20212022_BenchMarkDataReport!$B$4:$CL$90,62,0),0)</f>
        <v>9996.4599999999991</v>
      </c>
      <c r="AS20" s="258">
        <f>IFERROR(VLOOKUP(A20,CFR20212022_BenchMarkDataReport!$B$4:$CL$90,63,0),0)</f>
        <v>6689.65</v>
      </c>
      <c r="AT20" s="258">
        <f>IFERROR(VLOOKUP(A20,CFR20212022_BenchMarkDataReport!$B$4:$CL$90,64,0),0)</f>
        <v>78082.429999999993</v>
      </c>
      <c r="AU20" s="258">
        <f>IFERROR(VLOOKUP(A20,CFR20212022_BenchMarkDataReport!$B$4:$CL$90,65,0),0)</f>
        <v>35200.86</v>
      </c>
      <c r="AV20" s="258">
        <f>IFERROR(VLOOKUP(A20,CFR20212022_BenchMarkDataReport!$B$4:$CL$90,66,0),0)</f>
        <v>192736.33</v>
      </c>
      <c r="AW20" s="258">
        <f>IFERROR(VLOOKUP(A20,CFR20212022_BenchMarkDataReport!$B$4:$CL$90,67,0),0)</f>
        <v>26077.31</v>
      </c>
      <c r="AX20" s="258">
        <f>IFERROR(VLOOKUP(A20,CFR20212022_BenchMarkDataReport!$B$4:$CL$90,68,0),0)</f>
        <v>0</v>
      </c>
      <c r="AY20" s="258">
        <f>IFERROR(VLOOKUP(A20,CFR20212022_BenchMarkDataReport!$B$4:$CL$90,69,0),0)</f>
        <v>0</v>
      </c>
      <c r="AZ20" s="258">
        <f>IFERROR(VLOOKUP(A20,CFR20212022_BenchMarkDataReport!$B$4:$CL$90,70,0),0)</f>
        <v>2110</v>
      </c>
      <c r="BA20" s="258">
        <f>IFERROR(VLOOKUP(A20,CFR20212022_BenchMarkDataReport!$B$4:$CL$90,71,0),0)</f>
        <v>0</v>
      </c>
      <c r="BB20" s="258">
        <f>IFERROR(VLOOKUP(A20,CFR20212022_BenchMarkDataReport!$B$4:$CL$90,72,0),0)</f>
        <v>0</v>
      </c>
      <c r="BC20" s="259">
        <f t="shared" si="10"/>
        <v>2069309.15</v>
      </c>
      <c r="BD20" s="260">
        <f t="shared" si="11"/>
        <v>2070691.1600000001</v>
      </c>
      <c r="BE20" s="296">
        <f t="shared" si="12"/>
        <v>-1382.0100000002421</v>
      </c>
      <c r="BF20" s="258">
        <f>IFERROR(VLOOKUP(A20,CFR20212022_BenchMarkDataReport!$B$4:$CL$90,16,0),0)</f>
        <v>74015.42</v>
      </c>
      <c r="BG20" s="296">
        <f t="shared" si="13"/>
        <v>72633.409999999756</v>
      </c>
      <c r="BH20" s="261">
        <f>IFERROR(VLOOKUP(A20,'Pupil Nos BenchmarkData 21-22'!$A$6:$E$94,5,0),0)</f>
        <v>353</v>
      </c>
      <c r="BI20" s="260">
        <f t="shared" si="1"/>
        <v>1696464.81</v>
      </c>
      <c r="BJ20" s="227" t="s">
        <v>183</v>
      </c>
      <c r="BK20" s="262">
        <f t="shared" si="14"/>
        <v>0.75836650120645344</v>
      </c>
      <c r="BL20" s="263">
        <f t="shared" si="15"/>
        <v>4445.5941643059487</v>
      </c>
      <c r="BM20" s="264">
        <f t="shared" si="16"/>
        <v>0</v>
      </c>
      <c r="BN20" s="265">
        <f t="shared" si="17"/>
        <v>0</v>
      </c>
      <c r="BO20" s="262">
        <f t="shared" si="18"/>
        <v>6.1455326769322992E-2</v>
      </c>
      <c r="BP20" s="263">
        <f t="shared" si="19"/>
        <v>360.25515580736544</v>
      </c>
      <c r="BQ20" s="264">
        <f t="shared" si="20"/>
        <v>0</v>
      </c>
      <c r="BR20" s="265">
        <f t="shared" si="21"/>
        <v>0</v>
      </c>
      <c r="BS20" s="262">
        <f t="shared" si="22"/>
        <v>4.7687408138121848E-2</v>
      </c>
      <c r="BT20" s="263">
        <f t="shared" si="23"/>
        <v>279.54671388101985</v>
      </c>
      <c r="BU20" s="264">
        <f t="shared" si="24"/>
        <v>7.3952217337849204E-3</v>
      </c>
      <c r="BV20" s="265">
        <f t="shared" si="25"/>
        <v>43.351274787535409</v>
      </c>
      <c r="BW20" s="262">
        <f t="shared" si="26"/>
        <v>0</v>
      </c>
      <c r="BX20" s="263">
        <f t="shared" si="27"/>
        <v>0</v>
      </c>
      <c r="BY20" s="264">
        <f t="shared" si="28"/>
        <v>2.7753832722384669E-2</v>
      </c>
      <c r="BZ20" s="266">
        <f t="shared" si="29"/>
        <v>162.69478753541077</v>
      </c>
      <c r="CA20" s="267">
        <f t="shared" si="30"/>
        <v>2.6179698668997817E-2</v>
      </c>
      <c r="CB20" s="268">
        <f t="shared" si="31"/>
        <v>153.46711048158639</v>
      </c>
      <c r="CC20" s="264">
        <f t="shared" si="32"/>
        <v>1.0958091979634847E-2</v>
      </c>
      <c r="CD20" s="265">
        <f t="shared" si="33"/>
        <v>64.237053824362604</v>
      </c>
      <c r="CE20" s="269">
        <f t="shared" si="34"/>
        <v>0.61499421258257636</v>
      </c>
      <c r="CF20" s="267">
        <f t="shared" si="35"/>
        <v>0.50418567955397098</v>
      </c>
      <c r="CG20" s="267">
        <f t="shared" si="36"/>
        <v>0.50384917855157119</v>
      </c>
      <c r="CH20" s="268">
        <f t="shared" si="37"/>
        <v>2955.569518413598</v>
      </c>
      <c r="CI20" s="264">
        <f t="shared" si="38"/>
        <v>0.17645725878628749</v>
      </c>
      <c r="CJ20" s="270">
        <f t="shared" si="39"/>
        <v>0.14466351245776884</v>
      </c>
      <c r="CK20" s="270">
        <f t="shared" si="40"/>
        <v>0.14456696188339357</v>
      </c>
      <c r="CL20" s="271">
        <f t="shared" si="41"/>
        <v>848.02699716713892</v>
      </c>
      <c r="CM20" s="269">
        <f t="shared" si="42"/>
        <v>2.8738497676235323E-2</v>
      </c>
      <c r="CN20" s="267">
        <f t="shared" si="43"/>
        <v>2.3560447698208843E-2</v>
      </c>
      <c r="CO20" s="267">
        <f t="shared" si="44"/>
        <v>2.3544723105883156E-2</v>
      </c>
      <c r="CP20" s="268">
        <f t="shared" si="45"/>
        <v>138.1128895184136</v>
      </c>
      <c r="CQ20" s="264">
        <f t="shared" si="46"/>
        <v>5.4707713035320786E-2</v>
      </c>
      <c r="CR20" s="270">
        <f t="shared" si="47"/>
        <v>4.4850577304990903E-2</v>
      </c>
      <c r="CS20" s="270">
        <f t="shared" si="48"/>
        <v>4.4820643364315127E-2</v>
      </c>
      <c r="CT20" s="265">
        <f t="shared" si="49"/>
        <v>262.91702549575075</v>
      </c>
      <c r="CU20" s="269">
        <f t="shared" si="50"/>
        <v>0.8745440407926881</v>
      </c>
      <c r="CV20" s="267">
        <f t="shared" si="51"/>
        <v>0.71697029416798352</v>
      </c>
      <c r="CW20" s="267">
        <f t="shared" si="52"/>
        <v>0.71649177755701621</v>
      </c>
      <c r="CX20" s="268">
        <f t="shared" si="53"/>
        <v>4202.9268838526914</v>
      </c>
      <c r="CY20" s="264">
        <f t="shared" si="54"/>
        <v>9.8334076260621038E-3</v>
      </c>
      <c r="CZ20" s="270">
        <f t="shared" si="55"/>
        <v>8.0562617556159347E-3</v>
      </c>
      <c r="DA20" s="265">
        <f t="shared" si="56"/>
        <v>47.257875354107647</v>
      </c>
      <c r="DB20" s="269">
        <f t="shared" si="57"/>
        <v>3.7400748839822155E-3</v>
      </c>
      <c r="DC20" s="268">
        <f t="shared" si="58"/>
        <v>21.939206798866856</v>
      </c>
      <c r="DD20" s="264">
        <f t="shared" si="59"/>
        <v>1.7108931366516231E-2</v>
      </c>
      <c r="DE20" s="270">
        <f t="shared" si="60"/>
        <v>1.4016914043328412E-2</v>
      </c>
      <c r="DF20" s="265">
        <f t="shared" si="61"/>
        <v>82.222946175637389</v>
      </c>
      <c r="DG20" s="269">
        <f t="shared" si="62"/>
        <v>5.1814042638467697E-3</v>
      </c>
      <c r="DH20" s="267">
        <f t="shared" si="63"/>
        <v>4.2449932514320478E-3</v>
      </c>
      <c r="DI20" s="272">
        <f t="shared" si="64"/>
        <v>24.901048158640226</v>
      </c>
      <c r="DJ20" s="264">
        <f t="shared" si="65"/>
        <v>3.9653118416290635E-2</v>
      </c>
      <c r="DK20" s="270">
        <f t="shared" si="66"/>
        <v>3.2508492024983314E-2</v>
      </c>
      <c r="DL20" s="270">
        <f t="shared" si="67"/>
        <v>3.2486795375124888E-2</v>
      </c>
      <c r="DM20" s="265">
        <f t="shared" si="68"/>
        <v>190.56691218130311</v>
      </c>
      <c r="DN20" s="269">
        <f t="shared" si="69"/>
        <v>1.0362101174382743E-2</v>
      </c>
      <c r="DO20" s="267">
        <f t="shared" si="70"/>
        <v>8.489406986216138E-3</v>
      </c>
      <c r="DP20" s="268">
        <f t="shared" si="71"/>
        <v>49.798696883852685</v>
      </c>
      <c r="DQ20" s="264">
        <f t="shared" si="72"/>
        <v>0.11361056761324745</v>
      </c>
      <c r="DR20" s="270">
        <f t="shared" si="73"/>
        <v>9.3078259917814099E-2</v>
      </c>
      <c r="DS20" s="265">
        <f t="shared" si="74"/>
        <v>545.99526912181295</v>
      </c>
      <c r="DT20" s="269">
        <f t="shared" si="75"/>
        <v>3.7708390081696193E-2</v>
      </c>
      <c r="DU20" s="268">
        <f t="shared" si="76"/>
        <v>221.1966855524079</v>
      </c>
      <c r="DV20" s="264">
        <f t="shared" si="2"/>
        <v>1.2996795717232886E-2</v>
      </c>
      <c r="DW20" s="265">
        <f t="shared" si="3"/>
        <v>76.238951841359764</v>
      </c>
      <c r="DX20" s="264">
        <f t="shared" si="77"/>
        <v>4.3030659740003682E-5</v>
      </c>
      <c r="DY20" s="270">
        <f t="shared" si="78"/>
        <v>3.5277474127053469E-5</v>
      </c>
      <c r="DZ20" s="270">
        <f t="shared" si="79"/>
        <v>3.5253929417460782E-5</v>
      </c>
      <c r="EA20" s="265">
        <f t="shared" si="80"/>
        <v>0.20679886685552407</v>
      </c>
      <c r="EB20" s="273">
        <f>IFERROR(VLOOKUP(A20,'BARNET SCHS PUPIL PREMIUM Nos'!$E$31:$V$117,17,0),0)</f>
        <v>73</v>
      </c>
      <c r="EC20" s="258">
        <f>IFERROR(VLOOKUP(A20,CFR20212022_BenchMarkDataReport!$B$4:$CL$90,36,0),0)</f>
        <v>0</v>
      </c>
      <c r="ED20" s="258">
        <f>IFERROR(VLOOKUP(A20,CFR20212022_BenchMarkDataReport!$B$4:$CL$90,37,0),0)</f>
        <v>770</v>
      </c>
      <c r="EE20" s="258">
        <f>IFERROR(VLOOKUP(A20,CFR20212022_BenchMarkDataReport!$B$4:$CL$90,38,0),0)</f>
        <v>22920</v>
      </c>
      <c r="EF20" s="258">
        <f>IFERROR(VLOOKUP(A20,CFR20212022_BenchMarkDataReport!$B$4:$CL$90,39,0),0)</f>
        <v>22842.17</v>
      </c>
      <c r="EG20" s="227"/>
    </row>
    <row r="21" spans="1:137" s="5" customFormat="1">
      <c r="A21" s="293">
        <v>2009</v>
      </c>
      <c r="B21" s="294">
        <v>10048</v>
      </c>
      <c r="C21" s="293" t="s">
        <v>42</v>
      </c>
      <c r="D21" s="258">
        <f>IFERROR(VLOOKUP(A21,CFR20212022_BenchMarkDataReport!$B$4:$CL$90,19,0),0)</f>
        <v>2228919.67</v>
      </c>
      <c r="E21" s="258">
        <f>IFERROR(VLOOKUP(A21,CFR20212022_BenchMarkDataReport!$B$4:$CL$90,20,0),0)</f>
        <v>0</v>
      </c>
      <c r="F21" s="258">
        <f>IFERROR(VLOOKUP(A21,CFR20212022_BenchMarkDataReport!$B$4:$CL$90,21,0),0)</f>
        <v>113343.72</v>
      </c>
      <c r="G21" s="258">
        <f>IFERROR(VLOOKUP(A21,CFR20212022_BenchMarkDataReport!$B$4:$CL$90,22,0),0)</f>
        <v>0</v>
      </c>
      <c r="H21" s="258">
        <f>IFERROR(VLOOKUP(A21,CFR20212022_BenchMarkDataReport!$B$4:$CL$90,23,0),0)</f>
        <v>114979.95</v>
      </c>
      <c r="I21" s="258">
        <f>IFERROR(VLOOKUP(A21,CFR20212022_BenchMarkDataReport!$B$4:$CL$90,24,0),0)</f>
        <v>15799.8</v>
      </c>
      <c r="J21" s="258">
        <f>IFERROR(VLOOKUP(A21,CFR20212022_BenchMarkDataReport!$B$4:$CL$90,25,0),0)</f>
        <v>0</v>
      </c>
      <c r="K21" s="258">
        <f>IFERROR(VLOOKUP(A21,CFR20212022_BenchMarkDataReport!$B$4:$CL$90,26,0),0)</f>
        <v>6634.67</v>
      </c>
      <c r="L21" s="258">
        <f>IFERROR(VLOOKUP(A21,CFR20212022_BenchMarkDataReport!$B$4:$CL$90,27,0),0)</f>
        <v>149367.53</v>
      </c>
      <c r="M21" s="258">
        <f>IFERROR(VLOOKUP(A21,CFR20212022_BenchMarkDataReport!$B$4:$CL$90,28,0),0)</f>
        <v>27059.66</v>
      </c>
      <c r="N21" s="258">
        <f>IFERROR(VLOOKUP(A21,CFR20212022_BenchMarkDataReport!$B$4:$CL$90,29,0),0)</f>
        <v>0</v>
      </c>
      <c r="O21" s="258">
        <f>IFERROR(VLOOKUP(A21,CFR20212022_BenchMarkDataReport!$B$4:$CL$90,30,0),0)</f>
        <v>0</v>
      </c>
      <c r="P21" s="258">
        <f>IFERROR(VLOOKUP(A21,CFR20212022_BenchMarkDataReport!$B$4:$CL$90,31,0),0)</f>
        <v>10920.64</v>
      </c>
      <c r="Q21" s="258">
        <f>IFERROR(VLOOKUP(A21,CFR20212022_BenchMarkDataReport!$B$4:$CL$90,32,0),0)</f>
        <v>8869.35</v>
      </c>
      <c r="R21" s="258">
        <f>IFERROR(VLOOKUP(A21,CFR20212022_BenchMarkDataReport!$B$4:$CL$90,33,0),0)</f>
        <v>0</v>
      </c>
      <c r="S21" s="258">
        <f>IFERROR(VLOOKUP(A21,CFR20212022_BenchMarkDataReport!$B$4:$CL$90,34,0),0)</f>
        <v>0</v>
      </c>
      <c r="T21" s="258">
        <f>IFERROR(VLOOKUP(A21,CFR20212022_BenchMarkDataReport!$B$4:$CL$90,35,0),0)</f>
        <v>0</v>
      </c>
      <c r="U21" s="258">
        <f t="shared" si="0"/>
        <v>96383.65</v>
      </c>
      <c r="V21" s="258">
        <f>IFERROR(VLOOKUP(A21,CFR20212022_BenchMarkDataReport!$B$4:$CL$90,40,0),0)</f>
        <v>1348183.9</v>
      </c>
      <c r="W21" s="258">
        <f>IFERROR(VLOOKUP(A21,CFR20212022_BenchMarkDataReport!$B$4:$CL$90,41,0),0)</f>
        <v>0</v>
      </c>
      <c r="X21" s="258">
        <f>IFERROR(VLOOKUP(A21,CFR20212022_BenchMarkDataReport!$B$4:$CL$90,42,0),0)</f>
        <v>561104</v>
      </c>
      <c r="Y21" s="258">
        <f>IFERROR(VLOOKUP(A21,CFR20212022_BenchMarkDataReport!$B$4:$CL$90,43,0),0)</f>
        <v>38641.01</v>
      </c>
      <c r="Z21" s="258">
        <f>IFERROR(VLOOKUP(A21,CFR20212022_BenchMarkDataReport!$B$4:$CL$90,44,0),0)</f>
        <v>81835.27</v>
      </c>
      <c r="AA21" s="258">
        <f>IFERROR(VLOOKUP(A21,CFR20212022_BenchMarkDataReport!$B$4:$CL$90,45,0),0)</f>
        <v>0</v>
      </c>
      <c r="AB21" s="258">
        <f>IFERROR(VLOOKUP(A21,CFR20212022_BenchMarkDataReport!$B$4:$CL$90,46,0),0)</f>
        <v>100213.72</v>
      </c>
      <c r="AC21" s="258">
        <f>IFERROR(VLOOKUP(A21,CFR20212022_BenchMarkDataReport!$B$4:$CL$90,47,0),0)</f>
        <v>10224.959999999999</v>
      </c>
      <c r="AD21" s="258">
        <f>IFERROR(VLOOKUP(A21,CFR20212022_BenchMarkDataReport!$B$4:$CL$90,48,0),0)</f>
        <v>16359.48</v>
      </c>
      <c r="AE21" s="258">
        <f>IFERROR(VLOOKUP(A21,CFR20212022_BenchMarkDataReport!$B$4:$CL$90,49,0),0)</f>
        <v>687.16</v>
      </c>
      <c r="AF21" s="258">
        <f>IFERROR(VLOOKUP(A21,CFR20212022_BenchMarkDataReport!$B$4:$CL$90,50,0),0)</f>
        <v>0</v>
      </c>
      <c r="AG21" s="258">
        <f>IFERROR(VLOOKUP(A21,CFR20212022_BenchMarkDataReport!$B$4:$CL$90,51,0),0)</f>
        <v>18052.91</v>
      </c>
      <c r="AH21" s="258">
        <f>IFERROR(VLOOKUP(A21,CFR20212022_BenchMarkDataReport!$B$4:$CL$90,52,0),0)</f>
        <v>6002.55</v>
      </c>
      <c r="AI21" s="258">
        <f>IFERROR(VLOOKUP(A21,CFR20212022_BenchMarkDataReport!$B$4:$CL$90,53,0),0)</f>
        <v>41584.49</v>
      </c>
      <c r="AJ21" s="258">
        <f>IFERROR(VLOOKUP(A21,CFR20212022_BenchMarkDataReport!$B$4:$CL$90,54,0),0)</f>
        <v>6441.19</v>
      </c>
      <c r="AK21" s="258">
        <f>IFERROR(VLOOKUP(A21,CFR20212022_BenchMarkDataReport!$B$4:$CL$90,55,0),0)</f>
        <v>32657.27</v>
      </c>
      <c r="AL21" s="258">
        <f>IFERROR(VLOOKUP(A21,CFR20212022_BenchMarkDataReport!$B$4:$CL$90,56,0),0)</f>
        <v>39900</v>
      </c>
      <c r="AM21" s="258">
        <f>IFERROR(VLOOKUP(A21,CFR20212022_BenchMarkDataReport!$B$4:$CL$90,57,0),0)</f>
        <v>13965.86</v>
      </c>
      <c r="AN21" s="258">
        <f>IFERROR(VLOOKUP(A21,CFR20212022_BenchMarkDataReport!$B$4:$CL$90,58,0),0)</f>
        <v>65305.21</v>
      </c>
      <c r="AO21" s="258">
        <f>IFERROR(VLOOKUP(A21,CFR20212022_BenchMarkDataReport!$B$4:$CL$90,59,0),0)</f>
        <v>7079.64</v>
      </c>
      <c r="AP21" s="258">
        <f>IFERROR(VLOOKUP(A21,CFR20212022_BenchMarkDataReport!$B$4:$CL$90,60,0),0)</f>
        <v>0</v>
      </c>
      <c r="AQ21" s="258">
        <f>IFERROR(VLOOKUP(A21,CFR20212022_BenchMarkDataReport!$B$4:$CL$90,61,0),0)</f>
        <v>19219.990000000002</v>
      </c>
      <c r="AR21" s="258">
        <f>IFERROR(VLOOKUP(A21,CFR20212022_BenchMarkDataReport!$B$4:$CL$90,62,0),0)</f>
        <v>14718.53</v>
      </c>
      <c r="AS21" s="258">
        <f>IFERROR(VLOOKUP(A21,CFR20212022_BenchMarkDataReport!$B$4:$CL$90,63,0),0)</f>
        <v>40268.74</v>
      </c>
      <c r="AT21" s="258">
        <f>IFERROR(VLOOKUP(A21,CFR20212022_BenchMarkDataReport!$B$4:$CL$90,64,0),0)</f>
        <v>96663.58</v>
      </c>
      <c r="AU21" s="258">
        <f>IFERROR(VLOOKUP(A21,CFR20212022_BenchMarkDataReport!$B$4:$CL$90,65,0),0)</f>
        <v>29892.5</v>
      </c>
      <c r="AV21" s="258">
        <f>IFERROR(VLOOKUP(A21,CFR20212022_BenchMarkDataReport!$B$4:$CL$90,66,0),0)</f>
        <v>83416.11</v>
      </c>
      <c r="AW21" s="258">
        <f>IFERROR(VLOOKUP(A21,CFR20212022_BenchMarkDataReport!$B$4:$CL$90,67,0),0)</f>
        <v>32789.97</v>
      </c>
      <c r="AX21" s="258">
        <f>IFERROR(VLOOKUP(A21,CFR20212022_BenchMarkDataReport!$B$4:$CL$90,68,0),0)</f>
        <v>0</v>
      </c>
      <c r="AY21" s="258">
        <f>IFERROR(VLOOKUP(A21,CFR20212022_BenchMarkDataReport!$B$4:$CL$90,69,0),0)</f>
        <v>0</v>
      </c>
      <c r="AZ21" s="258">
        <f>IFERROR(VLOOKUP(A21,CFR20212022_BenchMarkDataReport!$B$4:$CL$90,70,0),0)</f>
        <v>0</v>
      </c>
      <c r="BA21" s="258">
        <f>IFERROR(VLOOKUP(A21,CFR20212022_BenchMarkDataReport!$B$4:$CL$90,71,0),0)</f>
        <v>0</v>
      </c>
      <c r="BB21" s="258">
        <f>IFERROR(VLOOKUP(A21,CFR20212022_BenchMarkDataReport!$B$4:$CL$90,72,0),0)</f>
        <v>0</v>
      </c>
      <c r="BC21" s="259">
        <f t="shared" si="10"/>
        <v>2772278.64</v>
      </c>
      <c r="BD21" s="260">
        <f t="shared" si="11"/>
        <v>2705208.0400000005</v>
      </c>
      <c r="BE21" s="296">
        <f t="shared" si="12"/>
        <v>67070.599999999627</v>
      </c>
      <c r="BF21" s="258">
        <f>IFERROR(VLOOKUP(A21,CFR20212022_BenchMarkDataReport!$B$4:$CL$90,16,0),0)</f>
        <v>86705.17</v>
      </c>
      <c r="BG21" s="296">
        <f t="shared" si="13"/>
        <v>153775.76999999961</v>
      </c>
      <c r="BH21" s="261">
        <f>IFERROR(VLOOKUP(A21,'Pupil Nos BenchmarkData 21-22'!$A$6:$E$94,5,0),0)</f>
        <v>440.5</v>
      </c>
      <c r="BI21" s="260">
        <f t="shared" si="1"/>
        <v>2342263.39</v>
      </c>
      <c r="BJ21" s="227" t="s">
        <v>183</v>
      </c>
      <c r="BK21" s="262">
        <f t="shared" si="14"/>
        <v>0.80400275709659541</v>
      </c>
      <c r="BL21" s="263">
        <f t="shared" si="15"/>
        <v>5059.9765493757095</v>
      </c>
      <c r="BM21" s="264">
        <f t="shared" si="16"/>
        <v>0</v>
      </c>
      <c r="BN21" s="265">
        <f t="shared" si="17"/>
        <v>0</v>
      </c>
      <c r="BO21" s="262">
        <f t="shared" si="18"/>
        <v>4.0884678172176801E-2</v>
      </c>
      <c r="BP21" s="263">
        <f t="shared" si="19"/>
        <v>257.30696935300796</v>
      </c>
      <c r="BQ21" s="264">
        <f t="shared" si="20"/>
        <v>0</v>
      </c>
      <c r="BR21" s="265">
        <f t="shared" si="21"/>
        <v>0</v>
      </c>
      <c r="BS21" s="262">
        <f t="shared" si="22"/>
        <v>4.1474889407220619E-2</v>
      </c>
      <c r="BT21" s="263">
        <f t="shared" si="23"/>
        <v>261.02145289443814</v>
      </c>
      <c r="BU21" s="264">
        <f t="shared" si="24"/>
        <v>5.6992106680878217E-3</v>
      </c>
      <c r="BV21" s="265">
        <f t="shared" si="25"/>
        <v>35.867877412031781</v>
      </c>
      <c r="BW21" s="262">
        <f t="shared" si="26"/>
        <v>0</v>
      </c>
      <c r="BX21" s="263">
        <f t="shared" si="27"/>
        <v>0</v>
      </c>
      <c r="BY21" s="264">
        <f t="shared" si="28"/>
        <v>5.6272193476194013E-2</v>
      </c>
      <c r="BZ21" s="266">
        <f t="shared" si="29"/>
        <v>354.14801362088537</v>
      </c>
      <c r="CA21" s="267">
        <f t="shared" si="30"/>
        <v>3.9392288503871309E-3</v>
      </c>
      <c r="CB21" s="268">
        <f t="shared" si="31"/>
        <v>24.791464245175934</v>
      </c>
      <c r="CC21" s="264">
        <f t="shared" si="32"/>
        <v>3.1992996201853649E-3</v>
      </c>
      <c r="CD21" s="265">
        <f t="shared" si="33"/>
        <v>20.13473325766175</v>
      </c>
      <c r="CE21" s="269">
        <f t="shared" si="34"/>
        <v>0.58835244827013233</v>
      </c>
      <c r="CF21" s="267">
        <f t="shared" si="35"/>
        <v>0.49709159105305512</v>
      </c>
      <c r="CG21" s="267">
        <f t="shared" si="36"/>
        <v>0.50941605215693486</v>
      </c>
      <c r="CH21" s="268">
        <f t="shared" si="37"/>
        <v>3128.4367763904652</v>
      </c>
      <c r="CI21" s="264">
        <f t="shared" si="38"/>
        <v>0.23955632077739983</v>
      </c>
      <c r="CJ21" s="270">
        <f t="shared" si="39"/>
        <v>0.20239812546404065</v>
      </c>
      <c r="CK21" s="270">
        <f t="shared" si="40"/>
        <v>0.20741621039984781</v>
      </c>
      <c r="CL21" s="271">
        <f t="shared" si="41"/>
        <v>1273.788876276958</v>
      </c>
      <c r="CM21" s="269">
        <f t="shared" si="42"/>
        <v>1.6497294951956707E-2</v>
      </c>
      <c r="CN21" s="267">
        <f t="shared" si="43"/>
        <v>1.3938357220831164E-2</v>
      </c>
      <c r="CO21" s="267">
        <f t="shared" si="44"/>
        <v>1.4283932854199263E-2</v>
      </c>
      <c r="CP21" s="268">
        <f t="shared" si="45"/>
        <v>87.720794551645866</v>
      </c>
      <c r="CQ21" s="264">
        <f t="shared" si="46"/>
        <v>3.4938542927915546E-2</v>
      </c>
      <c r="CR21" s="270">
        <f t="shared" si="47"/>
        <v>2.951913592639447E-2</v>
      </c>
      <c r="CS21" s="270">
        <f t="shared" si="48"/>
        <v>3.0251007977929855E-2</v>
      </c>
      <c r="CT21" s="265">
        <f t="shared" si="49"/>
        <v>185.77813847900114</v>
      </c>
      <c r="CU21" s="269">
        <f t="shared" si="50"/>
        <v>0.90936737050737915</v>
      </c>
      <c r="CV21" s="267">
        <f t="shared" si="51"/>
        <v>0.76831306538508692</v>
      </c>
      <c r="CW21" s="267">
        <f t="shared" si="52"/>
        <v>0.78736195830617139</v>
      </c>
      <c r="CX21" s="268">
        <f t="shared" si="53"/>
        <v>4835.364131668558</v>
      </c>
      <c r="CY21" s="264">
        <f t="shared" si="54"/>
        <v>7.7074636768326892E-3</v>
      </c>
      <c r="CZ21" s="270">
        <f t="shared" si="55"/>
        <v>6.6733906350507502E-3</v>
      </c>
      <c r="DA21" s="265">
        <f t="shared" si="56"/>
        <v>40.982769580022698</v>
      </c>
      <c r="DB21" s="269">
        <f t="shared" si="57"/>
        <v>2.3810331422791419E-3</v>
      </c>
      <c r="DC21" s="268">
        <f t="shared" si="58"/>
        <v>14.622451759364358</v>
      </c>
      <c r="DD21" s="264">
        <f t="shared" si="59"/>
        <v>1.3942612150036636E-2</v>
      </c>
      <c r="DE21" s="270">
        <f t="shared" si="60"/>
        <v>1.2071999460714302E-2</v>
      </c>
      <c r="DF21" s="265">
        <f t="shared" si="61"/>
        <v>74.136821793416573</v>
      </c>
      <c r="DG21" s="269">
        <f t="shared" si="62"/>
        <v>5.9625489001900846E-3</v>
      </c>
      <c r="DH21" s="267">
        <f t="shared" si="63"/>
        <v>5.162582616012038E-3</v>
      </c>
      <c r="DI21" s="272">
        <f t="shared" si="64"/>
        <v>31.704562996594781</v>
      </c>
      <c r="DJ21" s="264">
        <f t="shared" si="65"/>
        <v>2.7881240973501274E-2</v>
      </c>
      <c r="DK21" s="270">
        <f t="shared" si="66"/>
        <v>2.3556510178212101E-2</v>
      </c>
      <c r="DL21" s="270">
        <f t="shared" si="67"/>
        <v>2.4140550018474729E-2</v>
      </c>
      <c r="DM21" s="265">
        <f t="shared" si="68"/>
        <v>148.25246311010216</v>
      </c>
      <c r="DN21" s="269">
        <f t="shared" si="69"/>
        <v>8.2057338564302112E-3</v>
      </c>
      <c r="DO21" s="267">
        <f t="shared" si="70"/>
        <v>7.1048103198746958E-3</v>
      </c>
      <c r="DP21" s="268">
        <f t="shared" si="71"/>
        <v>43.632213393870607</v>
      </c>
      <c r="DQ21" s="264">
        <f t="shared" si="72"/>
        <v>3.5613462754075662E-2</v>
      </c>
      <c r="DR21" s="270">
        <f t="shared" si="73"/>
        <v>3.0835377082496025E-2</v>
      </c>
      <c r="DS21" s="265">
        <f t="shared" si="74"/>
        <v>189.36687854710556</v>
      </c>
      <c r="DT21" s="269">
        <f t="shared" si="75"/>
        <v>3.5732401564206491E-2</v>
      </c>
      <c r="DU21" s="268">
        <f t="shared" si="76"/>
        <v>219.4405902383655</v>
      </c>
      <c r="DV21" s="264">
        <f t="shared" si="2"/>
        <v>1.5372011832406053E-2</v>
      </c>
      <c r="DW21" s="265">
        <f t="shared" si="3"/>
        <v>94.402928490351869</v>
      </c>
      <c r="DX21" s="264">
        <f t="shared" si="77"/>
        <v>3.5008872336940721E-5</v>
      </c>
      <c r="DY21" s="270">
        <f t="shared" si="78"/>
        <v>2.9578556360409715E-5</v>
      </c>
      <c r="DZ21" s="270">
        <f t="shared" si="79"/>
        <v>3.0311901631047934E-5</v>
      </c>
      <c r="EA21" s="265">
        <f t="shared" si="80"/>
        <v>0.18615209988649262</v>
      </c>
      <c r="EB21" s="273">
        <f>IFERROR(VLOOKUP(A21,'BARNET SCHS PUPIL PREMIUM Nos'!$E$31:$V$117,17,0),0)</f>
        <v>82</v>
      </c>
      <c r="EC21" s="258">
        <f>IFERROR(VLOOKUP(A21,CFR20212022_BenchMarkDataReport!$B$4:$CL$90,36,0),0)</f>
        <v>0</v>
      </c>
      <c r="ED21" s="258">
        <f>IFERROR(VLOOKUP(A21,CFR20212022_BenchMarkDataReport!$B$4:$CL$90,37,0),0)</f>
        <v>5963.65</v>
      </c>
      <c r="EE21" s="258">
        <f>IFERROR(VLOOKUP(A21,CFR20212022_BenchMarkDataReport!$B$4:$CL$90,38,0),0)</f>
        <v>20040</v>
      </c>
      <c r="EF21" s="258">
        <f>IFERROR(VLOOKUP(A21,CFR20212022_BenchMarkDataReport!$B$4:$CL$90,39,0),0)</f>
        <v>70380</v>
      </c>
      <c r="EG21" s="227"/>
    </row>
    <row r="22" spans="1:137" s="5" customFormat="1">
      <c r="A22" s="293">
        <v>2067</v>
      </c>
      <c r="B22" s="294">
        <v>10118</v>
      </c>
      <c r="C22" s="293" t="s">
        <v>43</v>
      </c>
      <c r="D22" s="258">
        <f>IFERROR(VLOOKUP(A22,CFR20212022_BenchMarkDataReport!$B$4:$CL$90,19,0),0)</f>
        <v>1253588.99</v>
      </c>
      <c r="E22" s="258">
        <f>IFERROR(VLOOKUP(A22,CFR20212022_BenchMarkDataReport!$B$4:$CL$90,20,0),0)</f>
        <v>0</v>
      </c>
      <c r="F22" s="258">
        <f>IFERROR(VLOOKUP(A22,CFR20212022_BenchMarkDataReport!$B$4:$CL$90,21,0),0)</f>
        <v>284767.93</v>
      </c>
      <c r="G22" s="258">
        <f>IFERROR(VLOOKUP(A22,CFR20212022_BenchMarkDataReport!$B$4:$CL$90,22,0),0)</f>
        <v>0</v>
      </c>
      <c r="H22" s="258">
        <f>IFERROR(VLOOKUP(A22,CFR20212022_BenchMarkDataReport!$B$4:$CL$90,23,0),0)</f>
        <v>76664.97</v>
      </c>
      <c r="I22" s="258">
        <f>IFERROR(VLOOKUP(A22,CFR20212022_BenchMarkDataReport!$B$4:$CL$90,24,0),0)</f>
        <v>192.2</v>
      </c>
      <c r="J22" s="258">
        <f>IFERROR(VLOOKUP(A22,CFR20212022_BenchMarkDataReport!$B$4:$CL$90,25,0),0)</f>
        <v>44778.18</v>
      </c>
      <c r="K22" s="258">
        <f>IFERROR(VLOOKUP(A22,CFR20212022_BenchMarkDataReport!$B$4:$CL$90,26,0),0)</f>
        <v>10023.9</v>
      </c>
      <c r="L22" s="258">
        <f>IFERROR(VLOOKUP(A22,CFR20212022_BenchMarkDataReport!$B$4:$CL$90,27,0),0)</f>
        <v>12075.97</v>
      </c>
      <c r="M22" s="258">
        <f>IFERROR(VLOOKUP(A22,CFR20212022_BenchMarkDataReport!$B$4:$CL$90,28,0),0)</f>
        <v>20216.419999999998</v>
      </c>
      <c r="N22" s="258">
        <f>IFERROR(VLOOKUP(A22,CFR20212022_BenchMarkDataReport!$B$4:$CL$90,29,0),0)</f>
        <v>0</v>
      </c>
      <c r="O22" s="258">
        <f>IFERROR(VLOOKUP(A22,CFR20212022_BenchMarkDataReport!$B$4:$CL$90,30,0),0)</f>
        <v>0</v>
      </c>
      <c r="P22" s="258">
        <f>IFERROR(VLOOKUP(A22,CFR20212022_BenchMarkDataReport!$B$4:$CL$90,31,0),0)</f>
        <v>6910</v>
      </c>
      <c r="Q22" s="258">
        <f>IFERROR(VLOOKUP(A22,CFR20212022_BenchMarkDataReport!$B$4:$CL$90,32,0),0)</f>
        <v>9185.41</v>
      </c>
      <c r="R22" s="258">
        <f>IFERROR(VLOOKUP(A22,CFR20212022_BenchMarkDataReport!$B$4:$CL$90,33,0),0)</f>
        <v>0</v>
      </c>
      <c r="S22" s="258">
        <f>IFERROR(VLOOKUP(A22,CFR20212022_BenchMarkDataReport!$B$4:$CL$90,34,0),0)</f>
        <v>0</v>
      </c>
      <c r="T22" s="258">
        <f>IFERROR(VLOOKUP(A22,CFR20212022_BenchMarkDataReport!$B$4:$CL$90,35,0),0)</f>
        <v>0</v>
      </c>
      <c r="U22" s="258">
        <f t="shared" si="0"/>
        <v>63411.01</v>
      </c>
      <c r="V22" s="258">
        <f>IFERROR(VLOOKUP(A22,CFR20212022_BenchMarkDataReport!$B$4:$CL$90,40,0),0)</f>
        <v>843217.87</v>
      </c>
      <c r="W22" s="258">
        <f>IFERROR(VLOOKUP(A22,CFR20212022_BenchMarkDataReport!$B$4:$CL$90,41,0),0)</f>
        <v>0</v>
      </c>
      <c r="X22" s="258">
        <f>IFERROR(VLOOKUP(A22,CFR20212022_BenchMarkDataReport!$B$4:$CL$90,42,0),0)</f>
        <v>379484.56</v>
      </c>
      <c r="Y22" s="258">
        <f>IFERROR(VLOOKUP(A22,CFR20212022_BenchMarkDataReport!$B$4:$CL$90,43,0),0)</f>
        <v>22395.67</v>
      </c>
      <c r="Z22" s="258">
        <f>IFERROR(VLOOKUP(A22,CFR20212022_BenchMarkDataReport!$B$4:$CL$90,44,0),0)</f>
        <v>56550.21</v>
      </c>
      <c r="AA22" s="258">
        <f>IFERROR(VLOOKUP(A22,CFR20212022_BenchMarkDataReport!$B$4:$CL$90,45,0),0)</f>
        <v>0</v>
      </c>
      <c r="AB22" s="258">
        <f>IFERROR(VLOOKUP(A22,CFR20212022_BenchMarkDataReport!$B$4:$CL$90,46,0),0)</f>
        <v>9948.3799999999992</v>
      </c>
      <c r="AC22" s="258">
        <f>IFERROR(VLOOKUP(A22,CFR20212022_BenchMarkDataReport!$B$4:$CL$90,47,0),0)</f>
        <v>3474.73</v>
      </c>
      <c r="AD22" s="258">
        <f>IFERROR(VLOOKUP(A22,CFR20212022_BenchMarkDataReport!$B$4:$CL$90,48,0),0)</f>
        <v>3956.78</v>
      </c>
      <c r="AE22" s="258">
        <f>IFERROR(VLOOKUP(A22,CFR20212022_BenchMarkDataReport!$B$4:$CL$90,49,0),0)</f>
        <v>383.76</v>
      </c>
      <c r="AF22" s="258">
        <f>IFERROR(VLOOKUP(A22,CFR20212022_BenchMarkDataReport!$B$4:$CL$90,50,0),0)</f>
        <v>0</v>
      </c>
      <c r="AG22" s="258">
        <f>IFERROR(VLOOKUP(A22,CFR20212022_BenchMarkDataReport!$B$4:$CL$90,51,0),0)</f>
        <v>25164.61</v>
      </c>
      <c r="AH22" s="258">
        <f>IFERROR(VLOOKUP(A22,CFR20212022_BenchMarkDataReport!$B$4:$CL$90,52,0),0)</f>
        <v>5065.6899999999996</v>
      </c>
      <c r="AI22" s="258">
        <f>IFERROR(VLOOKUP(A22,CFR20212022_BenchMarkDataReport!$B$4:$CL$90,53,0),0)</f>
        <v>30987.81</v>
      </c>
      <c r="AJ22" s="258">
        <f>IFERROR(VLOOKUP(A22,CFR20212022_BenchMarkDataReport!$B$4:$CL$90,54,0),0)</f>
        <v>3744.66</v>
      </c>
      <c r="AK22" s="258">
        <f>IFERROR(VLOOKUP(A22,CFR20212022_BenchMarkDataReport!$B$4:$CL$90,55,0),0)</f>
        <v>13358.7</v>
      </c>
      <c r="AL22" s="258">
        <f>IFERROR(VLOOKUP(A22,CFR20212022_BenchMarkDataReport!$B$4:$CL$90,56,0),0)</f>
        <v>34560</v>
      </c>
      <c r="AM22" s="258">
        <f>IFERROR(VLOOKUP(A22,CFR20212022_BenchMarkDataReport!$B$4:$CL$90,57,0),0)</f>
        <v>10486.95</v>
      </c>
      <c r="AN22" s="258">
        <f>IFERROR(VLOOKUP(A22,CFR20212022_BenchMarkDataReport!$B$4:$CL$90,58,0),0)</f>
        <v>51022.49</v>
      </c>
      <c r="AO22" s="258">
        <f>IFERROR(VLOOKUP(A22,CFR20212022_BenchMarkDataReport!$B$4:$CL$90,59,0),0)</f>
        <v>17166.96</v>
      </c>
      <c r="AP22" s="258">
        <f>IFERROR(VLOOKUP(A22,CFR20212022_BenchMarkDataReport!$B$4:$CL$90,60,0),0)</f>
        <v>0</v>
      </c>
      <c r="AQ22" s="258">
        <f>IFERROR(VLOOKUP(A22,CFR20212022_BenchMarkDataReport!$B$4:$CL$90,61,0),0)</f>
        <v>8748.1299999999992</v>
      </c>
      <c r="AR22" s="258">
        <f>IFERROR(VLOOKUP(A22,CFR20212022_BenchMarkDataReport!$B$4:$CL$90,62,0),0)</f>
        <v>6540.58</v>
      </c>
      <c r="AS22" s="258">
        <f>IFERROR(VLOOKUP(A22,CFR20212022_BenchMarkDataReport!$B$4:$CL$90,63,0),0)</f>
        <v>5307.87</v>
      </c>
      <c r="AT22" s="258">
        <f>IFERROR(VLOOKUP(A22,CFR20212022_BenchMarkDataReport!$B$4:$CL$90,64,0),0)</f>
        <v>55669.82</v>
      </c>
      <c r="AU22" s="258">
        <f>IFERROR(VLOOKUP(A22,CFR20212022_BenchMarkDataReport!$B$4:$CL$90,65,0),0)</f>
        <v>52321.7</v>
      </c>
      <c r="AV22" s="258">
        <f>IFERROR(VLOOKUP(A22,CFR20212022_BenchMarkDataReport!$B$4:$CL$90,66,0),0)</f>
        <v>114812.46</v>
      </c>
      <c r="AW22" s="258">
        <f>IFERROR(VLOOKUP(A22,CFR20212022_BenchMarkDataReport!$B$4:$CL$90,67,0),0)</f>
        <v>24333.9</v>
      </c>
      <c r="AX22" s="258">
        <f>IFERROR(VLOOKUP(A22,CFR20212022_BenchMarkDataReport!$B$4:$CL$90,68,0),0)</f>
        <v>0</v>
      </c>
      <c r="AY22" s="258">
        <f>IFERROR(VLOOKUP(A22,CFR20212022_BenchMarkDataReport!$B$4:$CL$90,69,0),0)</f>
        <v>0</v>
      </c>
      <c r="AZ22" s="258">
        <f>IFERROR(VLOOKUP(A22,CFR20212022_BenchMarkDataReport!$B$4:$CL$90,70,0),0)</f>
        <v>0</v>
      </c>
      <c r="BA22" s="258">
        <f>IFERROR(VLOOKUP(A22,CFR20212022_BenchMarkDataReport!$B$4:$CL$90,71,0),0)</f>
        <v>0</v>
      </c>
      <c r="BB22" s="258">
        <f>IFERROR(VLOOKUP(A22,CFR20212022_BenchMarkDataReport!$B$4:$CL$90,72,0),0)</f>
        <v>0</v>
      </c>
      <c r="BC22" s="259">
        <f t="shared" si="10"/>
        <v>1781814.9799999995</v>
      </c>
      <c r="BD22" s="260">
        <f t="shared" si="11"/>
        <v>1778704.2899999996</v>
      </c>
      <c r="BE22" s="296">
        <f t="shared" si="12"/>
        <v>3110.6899999999441</v>
      </c>
      <c r="BF22" s="258">
        <f>IFERROR(VLOOKUP(A22,CFR20212022_BenchMarkDataReport!$B$4:$CL$90,16,0),0)</f>
        <v>37788.300000000003</v>
      </c>
      <c r="BG22" s="296">
        <f t="shared" si="13"/>
        <v>40898.989999999947</v>
      </c>
      <c r="BH22" s="261">
        <f>IFERROR(VLOOKUP(A22,'Pupil Nos BenchmarkData 21-22'!$A$6:$E$94,5,0),0)</f>
        <v>223</v>
      </c>
      <c r="BI22" s="260">
        <f t="shared" si="1"/>
        <v>1538356.92</v>
      </c>
      <c r="BJ22" s="227" t="s">
        <v>183</v>
      </c>
      <c r="BK22" s="262">
        <f t="shared" si="14"/>
        <v>0.70354610555580821</v>
      </c>
      <c r="BL22" s="263">
        <f t="shared" si="15"/>
        <v>5621.475291479821</v>
      </c>
      <c r="BM22" s="264">
        <f t="shared" si="16"/>
        <v>0</v>
      </c>
      <c r="BN22" s="265">
        <f t="shared" si="17"/>
        <v>0</v>
      </c>
      <c r="BO22" s="262">
        <f t="shared" si="18"/>
        <v>0.15981902340949006</v>
      </c>
      <c r="BP22" s="263">
        <f t="shared" si="19"/>
        <v>1276.9862331838565</v>
      </c>
      <c r="BQ22" s="264">
        <f t="shared" si="20"/>
        <v>0</v>
      </c>
      <c r="BR22" s="265">
        <f t="shared" si="21"/>
        <v>0</v>
      </c>
      <c r="BS22" s="262">
        <f t="shared" si="22"/>
        <v>4.3026335989160905E-2</v>
      </c>
      <c r="BT22" s="263">
        <f t="shared" si="23"/>
        <v>343.78910313901343</v>
      </c>
      <c r="BU22" s="264">
        <f t="shared" si="24"/>
        <v>1.0786754077014216E-4</v>
      </c>
      <c r="BV22" s="265">
        <f t="shared" si="25"/>
        <v>0.86188340807174879</v>
      </c>
      <c r="BW22" s="262">
        <f t="shared" si="26"/>
        <v>2.5130656382740712E-2</v>
      </c>
      <c r="BX22" s="263">
        <f t="shared" si="27"/>
        <v>200.79901345291481</v>
      </c>
      <c r="BY22" s="264">
        <f t="shared" si="28"/>
        <v>1.2403010552756721E-2</v>
      </c>
      <c r="BZ22" s="266">
        <f t="shared" si="29"/>
        <v>99.102556053811654</v>
      </c>
      <c r="CA22" s="267">
        <f t="shared" si="30"/>
        <v>3.8780681931409075E-3</v>
      </c>
      <c r="CB22" s="268">
        <f t="shared" si="31"/>
        <v>30.986547085201792</v>
      </c>
      <c r="CC22" s="264">
        <f t="shared" si="32"/>
        <v>5.155086304190799E-3</v>
      </c>
      <c r="CD22" s="265">
        <f t="shared" si="33"/>
        <v>41.190179372197306</v>
      </c>
      <c r="CE22" s="269">
        <f t="shared" si="34"/>
        <v>0.58214030720517052</v>
      </c>
      <c r="CF22" s="267">
        <f t="shared" si="35"/>
        <v>0.50259964140609048</v>
      </c>
      <c r="CG22" s="267">
        <f t="shared" si="36"/>
        <v>0.50347861363734614</v>
      </c>
      <c r="CH22" s="268">
        <f t="shared" si="37"/>
        <v>4015.8725112107622</v>
      </c>
      <c r="CI22" s="264">
        <f t="shared" si="38"/>
        <v>0.24668173885160541</v>
      </c>
      <c r="CJ22" s="270">
        <f t="shared" si="39"/>
        <v>0.21297641127700032</v>
      </c>
      <c r="CK22" s="270">
        <f t="shared" si="40"/>
        <v>0.21334887543336395</v>
      </c>
      <c r="CL22" s="271">
        <f t="shared" si="41"/>
        <v>1701.7244843049327</v>
      </c>
      <c r="CM22" s="269">
        <f t="shared" si="42"/>
        <v>1.4558175485049334E-2</v>
      </c>
      <c r="CN22" s="267">
        <f t="shared" si="43"/>
        <v>1.2569021055149062E-2</v>
      </c>
      <c r="CO22" s="267">
        <f t="shared" si="44"/>
        <v>1.259100240883773E-2</v>
      </c>
      <c r="CP22" s="268">
        <f t="shared" si="45"/>
        <v>100.42901345291479</v>
      </c>
      <c r="CQ22" s="264">
        <f t="shared" si="46"/>
        <v>3.6760136262786146E-2</v>
      </c>
      <c r="CR22" s="270">
        <f t="shared" si="47"/>
        <v>3.1737419785302298E-2</v>
      </c>
      <c r="CS22" s="270">
        <f t="shared" si="48"/>
        <v>3.1792923825466238E-2</v>
      </c>
      <c r="CT22" s="265">
        <f t="shared" si="49"/>
        <v>253.58838565022421</v>
      </c>
      <c r="CU22" s="269">
        <f t="shared" si="50"/>
        <v>0.85259582672140855</v>
      </c>
      <c r="CV22" s="267">
        <f t="shared" si="51"/>
        <v>0.73610150589260404</v>
      </c>
      <c r="CW22" s="267">
        <f t="shared" si="52"/>
        <v>0.73738883825371559</v>
      </c>
      <c r="CX22" s="268">
        <f t="shared" si="53"/>
        <v>5881.5995067264557</v>
      </c>
      <c r="CY22" s="264">
        <f t="shared" si="54"/>
        <v>1.6358108884120339E-2</v>
      </c>
      <c r="CZ22" s="270">
        <f t="shared" si="55"/>
        <v>1.414771985510869E-2</v>
      </c>
      <c r="DA22" s="265">
        <f t="shared" si="56"/>
        <v>112.84578475336323</v>
      </c>
      <c r="DB22" s="269">
        <f t="shared" si="57"/>
        <v>2.1052740587925388E-3</v>
      </c>
      <c r="DC22" s="268">
        <f t="shared" si="58"/>
        <v>16.792197309417041</v>
      </c>
      <c r="DD22" s="264">
        <f t="shared" si="59"/>
        <v>8.6837455120623123E-3</v>
      </c>
      <c r="DE22" s="270">
        <f t="shared" si="60"/>
        <v>7.5103546301111155E-3</v>
      </c>
      <c r="DF22" s="265">
        <f t="shared" si="61"/>
        <v>59.904484304932737</v>
      </c>
      <c r="DG22" s="269">
        <f t="shared" si="62"/>
        <v>6.8169810683466102E-3</v>
      </c>
      <c r="DH22" s="267">
        <f t="shared" si="63"/>
        <v>5.8958366823301488E-3</v>
      </c>
      <c r="DI22" s="272">
        <f t="shared" si="64"/>
        <v>47.026681614349776</v>
      </c>
      <c r="DJ22" s="264">
        <f t="shared" si="65"/>
        <v>3.3166873913759887E-2</v>
      </c>
      <c r="DK22" s="270">
        <f t="shared" si="66"/>
        <v>2.8635122373929088E-2</v>
      </c>
      <c r="DL22" s="270">
        <f t="shared" si="67"/>
        <v>2.8685200956028507E-2</v>
      </c>
      <c r="DM22" s="265">
        <f t="shared" si="68"/>
        <v>228.80040358744392</v>
      </c>
      <c r="DN22" s="269">
        <f t="shared" si="69"/>
        <v>5.6866712050152833E-3</v>
      </c>
      <c r="DO22" s="267">
        <f t="shared" si="70"/>
        <v>4.9182599092961101E-3</v>
      </c>
      <c r="DP22" s="268">
        <f t="shared" si="71"/>
        <v>39.229282511210762</v>
      </c>
      <c r="DQ22" s="264">
        <f t="shared" si="72"/>
        <v>7.4633174205112299E-2</v>
      </c>
      <c r="DR22" s="270">
        <f t="shared" si="73"/>
        <v>6.4548368520548197E-2</v>
      </c>
      <c r="DS22" s="265">
        <f t="shared" si="74"/>
        <v>514.85408071748884</v>
      </c>
      <c r="DT22" s="269">
        <f t="shared" si="75"/>
        <v>3.1297962406106307E-2</v>
      </c>
      <c r="DU22" s="268">
        <f t="shared" si="76"/>
        <v>249.64044843049328</v>
      </c>
      <c r="DV22" s="264">
        <f t="shared" si="2"/>
        <v>1.7421563648446593E-2</v>
      </c>
      <c r="DW22" s="265">
        <f t="shared" si="3"/>
        <v>138.95878923766816</v>
      </c>
      <c r="DX22" s="264">
        <f t="shared" si="77"/>
        <v>3.7052519645440932E-5</v>
      </c>
      <c r="DY22" s="270">
        <f t="shared" si="78"/>
        <v>3.1989853402175358E-5</v>
      </c>
      <c r="DZ22" s="270">
        <f t="shared" si="79"/>
        <v>3.2045798911296272E-5</v>
      </c>
      <c r="EA22" s="265">
        <f t="shared" si="80"/>
        <v>0.2556053811659193</v>
      </c>
      <c r="EB22" s="273">
        <f>IFERROR(VLOOKUP(A22,'BARNET SCHS PUPIL PREMIUM Nos'!$E$31:$V$117,17,0),0)</f>
        <v>57</v>
      </c>
      <c r="EC22" s="258">
        <f>IFERROR(VLOOKUP(A22,CFR20212022_BenchMarkDataReport!$B$4:$CL$90,36,0),0)</f>
        <v>0</v>
      </c>
      <c r="ED22" s="258">
        <f>IFERROR(VLOOKUP(A22,CFR20212022_BenchMarkDataReport!$B$4:$CL$90,37,0),0)</f>
        <v>0</v>
      </c>
      <c r="EE22" s="258">
        <f>IFERROR(VLOOKUP(A22,CFR20212022_BenchMarkDataReport!$B$4:$CL$90,38,0),0)</f>
        <v>0</v>
      </c>
      <c r="EF22" s="258">
        <f>IFERROR(VLOOKUP(A22,CFR20212022_BenchMarkDataReport!$B$4:$CL$90,39,0),0)</f>
        <v>63411.01</v>
      </c>
      <c r="EG22" s="227"/>
    </row>
    <row r="23" spans="1:137" s="5" customFormat="1">
      <c r="A23" s="293">
        <v>3302</v>
      </c>
      <c r="B23" s="294">
        <v>10050</v>
      </c>
      <c r="C23" s="293" t="s">
        <v>45</v>
      </c>
      <c r="D23" s="258">
        <f>IFERROR(VLOOKUP(A23,CFR20212022_BenchMarkDataReport!$B$4:$CL$90,19,0),0)</f>
        <v>1019879</v>
      </c>
      <c r="E23" s="258">
        <f>IFERROR(VLOOKUP(A23,CFR20212022_BenchMarkDataReport!$B$4:$CL$90,20,0),0)</f>
        <v>0</v>
      </c>
      <c r="F23" s="258">
        <f>IFERROR(VLOOKUP(A23,CFR20212022_BenchMarkDataReport!$B$4:$CL$90,21,0),0)</f>
        <v>63765.09</v>
      </c>
      <c r="G23" s="258">
        <f>IFERROR(VLOOKUP(A23,CFR20212022_BenchMarkDataReport!$B$4:$CL$90,22,0),0)</f>
        <v>0</v>
      </c>
      <c r="H23" s="258">
        <f>IFERROR(VLOOKUP(A23,CFR20212022_BenchMarkDataReport!$B$4:$CL$90,23,0),0)</f>
        <v>32934.93</v>
      </c>
      <c r="I23" s="258">
        <f>IFERROR(VLOOKUP(A23,CFR20212022_BenchMarkDataReport!$B$4:$CL$90,24,0),0)</f>
        <v>1000</v>
      </c>
      <c r="J23" s="258">
        <f>IFERROR(VLOOKUP(A23,CFR20212022_BenchMarkDataReport!$B$4:$CL$90,25,0),0)</f>
        <v>2100</v>
      </c>
      <c r="K23" s="258">
        <f>IFERROR(VLOOKUP(A23,CFR20212022_BenchMarkDataReport!$B$4:$CL$90,26,0),0)</f>
        <v>10193.34</v>
      </c>
      <c r="L23" s="258">
        <f>IFERROR(VLOOKUP(A23,CFR20212022_BenchMarkDataReport!$B$4:$CL$90,27,0),0)</f>
        <v>66437.14</v>
      </c>
      <c r="M23" s="258">
        <f>IFERROR(VLOOKUP(A23,CFR20212022_BenchMarkDataReport!$B$4:$CL$90,28,0),0)</f>
        <v>31773.82</v>
      </c>
      <c r="N23" s="258">
        <f>IFERROR(VLOOKUP(A23,CFR20212022_BenchMarkDataReport!$B$4:$CL$90,29,0),0)</f>
        <v>0</v>
      </c>
      <c r="O23" s="258">
        <f>IFERROR(VLOOKUP(A23,CFR20212022_BenchMarkDataReport!$B$4:$CL$90,30,0),0)</f>
        <v>1040</v>
      </c>
      <c r="P23" s="258">
        <f>IFERROR(VLOOKUP(A23,CFR20212022_BenchMarkDataReport!$B$4:$CL$90,31,0),0)</f>
        <v>30579.47</v>
      </c>
      <c r="Q23" s="258">
        <f>IFERROR(VLOOKUP(A23,CFR20212022_BenchMarkDataReport!$B$4:$CL$90,32,0),0)</f>
        <v>19385.07</v>
      </c>
      <c r="R23" s="258">
        <f>IFERROR(VLOOKUP(A23,CFR20212022_BenchMarkDataReport!$B$4:$CL$90,33,0),0)</f>
        <v>0</v>
      </c>
      <c r="S23" s="258">
        <f>IFERROR(VLOOKUP(A23,CFR20212022_BenchMarkDataReport!$B$4:$CL$90,34,0),0)</f>
        <v>0</v>
      </c>
      <c r="T23" s="258">
        <f>IFERROR(VLOOKUP(A23,CFR20212022_BenchMarkDataReport!$B$4:$CL$90,35,0),0)</f>
        <v>0</v>
      </c>
      <c r="U23" s="258">
        <f t="shared" si="0"/>
        <v>61443</v>
      </c>
      <c r="V23" s="258">
        <f>IFERROR(VLOOKUP(A23,CFR20212022_BenchMarkDataReport!$B$4:$CL$90,40,0),0)</f>
        <v>648208.09</v>
      </c>
      <c r="W23" s="258">
        <f>IFERROR(VLOOKUP(A23,CFR20212022_BenchMarkDataReport!$B$4:$CL$90,41,0),0)</f>
        <v>0</v>
      </c>
      <c r="X23" s="258">
        <f>IFERROR(VLOOKUP(A23,CFR20212022_BenchMarkDataReport!$B$4:$CL$90,42,0),0)</f>
        <v>233587.82</v>
      </c>
      <c r="Y23" s="258">
        <f>IFERROR(VLOOKUP(A23,CFR20212022_BenchMarkDataReport!$B$4:$CL$90,43,0),0)</f>
        <v>37845.78</v>
      </c>
      <c r="Z23" s="258">
        <f>IFERROR(VLOOKUP(A23,CFR20212022_BenchMarkDataReport!$B$4:$CL$90,44,0),0)</f>
        <v>55734.29</v>
      </c>
      <c r="AA23" s="258">
        <f>IFERROR(VLOOKUP(A23,CFR20212022_BenchMarkDataReport!$B$4:$CL$90,45,0),0)</f>
        <v>0</v>
      </c>
      <c r="AB23" s="258">
        <f>IFERROR(VLOOKUP(A23,CFR20212022_BenchMarkDataReport!$B$4:$CL$90,46,0),0)</f>
        <v>59063.72</v>
      </c>
      <c r="AC23" s="258">
        <f>IFERROR(VLOOKUP(A23,CFR20212022_BenchMarkDataReport!$B$4:$CL$90,47,0),0)</f>
        <v>2722.73</v>
      </c>
      <c r="AD23" s="258">
        <f>IFERROR(VLOOKUP(A23,CFR20212022_BenchMarkDataReport!$B$4:$CL$90,48,0),0)</f>
        <v>2251.34</v>
      </c>
      <c r="AE23" s="258">
        <f>IFERROR(VLOOKUP(A23,CFR20212022_BenchMarkDataReport!$B$4:$CL$90,49,0),0)</f>
        <v>4436.76</v>
      </c>
      <c r="AF23" s="258">
        <f>IFERROR(VLOOKUP(A23,CFR20212022_BenchMarkDataReport!$B$4:$CL$90,50,0),0)</f>
        <v>2977.91</v>
      </c>
      <c r="AG23" s="258">
        <f>IFERROR(VLOOKUP(A23,CFR20212022_BenchMarkDataReport!$B$4:$CL$90,51,0),0)</f>
        <v>35065.86</v>
      </c>
      <c r="AH23" s="258">
        <f>IFERROR(VLOOKUP(A23,CFR20212022_BenchMarkDataReport!$B$4:$CL$90,52,0),0)</f>
        <v>694.81</v>
      </c>
      <c r="AI23" s="258">
        <f>IFERROR(VLOOKUP(A23,CFR20212022_BenchMarkDataReport!$B$4:$CL$90,53,0),0)</f>
        <v>21955.15</v>
      </c>
      <c r="AJ23" s="258">
        <f>IFERROR(VLOOKUP(A23,CFR20212022_BenchMarkDataReport!$B$4:$CL$90,54,0),0)</f>
        <v>2261.7600000000002</v>
      </c>
      <c r="AK23" s="258">
        <f>IFERROR(VLOOKUP(A23,CFR20212022_BenchMarkDataReport!$B$4:$CL$90,55,0),0)</f>
        <v>19042.96</v>
      </c>
      <c r="AL23" s="258">
        <f>IFERROR(VLOOKUP(A23,CFR20212022_BenchMarkDataReport!$B$4:$CL$90,56,0),0)</f>
        <v>4364</v>
      </c>
      <c r="AM23" s="258">
        <f>IFERROR(VLOOKUP(A23,CFR20212022_BenchMarkDataReport!$B$4:$CL$90,57,0),0)</f>
        <v>3033.48</v>
      </c>
      <c r="AN23" s="258">
        <f>IFERROR(VLOOKUP(A23,CFR20212022_BenchMarkDataReport!$B$4:$CL$90,58,0),0)</f>
        <v>62092.88</v>
      </c>
      <c r="AO23" s="258">
        <f>IFERROR(VLOOKUP(A23,CFR20212022_BenchMarkDataReport!$B$4:$CL$90,59,0),0)</f>
        <v>12593.64</v>
      </c>
      <c r="AP23" s="258">
        <f>IFERROR(VLOOKUP(A23,CFR20212022_BenchMarkDataReport!$B$4:$CL$90,60,0),0)</f>
        <v>0</v>
      </c>
      <c r="AQ23" s="258">
        <f>IFERROR(VLOOKUP(A23,CFR20212022_BenchMarkDataReport!$B$4:$CL$90,61,0),0)</f>
        <v>6641.17</v>
      </c>
      <c r="AR23" s="258">
        <f>IFERROR(VLOOKUP(A23,CFR20212022_BenchMarkDataReport!$B$4:$CL$90,62,0),0)</f>
        <v>6081.33</v>
      </c>
      <c r="AS23" s="258">
        <f>IFERROR(VLOOKUP(A23,CFR20212022_BenchMarkDataReport!$B$4:$CL$90,63,0),0)</f>
        <v>7837.2</v>
      </c>
      <c r="AT23" s="258">
        <f>IFERROR(VLOOKUP(A23,CFR20212022_BenchMarkDataReport!$B$4:$CL$90,64,0),0)</f>
        <v>72734.92</v>
      </c>
      <c r="AU23" s="258">
        <f>IFERROR(VLOOKUP(A23,CFR20212022_BenchMarkDataReport!$B$4:$CL$90,65,0),0)</f>
        <v>179</v>
      </c>
      <c r="AV23" s="258">
        <f>IFERROR(VLOOKUP(A23,CFR20212022_BenchMarkDataReport!$B$4:$CL$90,66,0),0)</f>
        <v>35192.300000000003</v>
      </c>
      <c r="AW23" s="258">
        <f>IFERROR(VLOOKUP(A23,CFR20212022_BenchMarkDataReport!$B$4:$CL$90,67,0),0)</f>
        <v>20408.27</v>
      </c>
      <c r="AX23" s="258">
        <f>IFERROR(VLOOKUP(A23,CFR20212022_BenchMarkDataReport!$B$4:$CL$90,68,0),0)</f>
        <v>0</v>
      </c>
      <c r="AY23" s="258">
        <f>IFERROR(VLOOKUP(A23,CFR20212022_BenchMarkDataReport!$B$4:$CL$90,69,0),0)</f>
        <v>0</v>
      </c>
      <c r="AZ23" s="258">
        <f>IFERROR(VLOOKUP(A23,CFR20212022_BenchMarkDataReport!$B$4:$CL$90,70,0),0)</f>
        <v>0</v>
      </c>
      <c r="BA23" s="258">
        <f>IFERROR(VLOOKUP(A23,CFR20212022_BenchMarkDataReport!$B$4:$CL$90,71,0),0)</f>
        <v>0</v>
      </c>
      <c r="BB23" s="258">
        <f>IFERROR(VLOOKUP(A23,CFR20212022_BenchMarkDataReport!$B$4:$CL$90,72,0),0)</f>
        <v>0</v>
      </c>
      <c r="BC23" s="259">
        <f t="shared" si="10"/>
        <v>1340530.8600000001</v>
      </c>
      <c r="BD23" s="260">
        <f t="shared" si="11"/>
        <v>1357007.1699999997</v>
      </c>
      <c r="BE23" s="296">
        <f t="shared" si="12"/>
        <v>-16476.30999999959</v>
      </c>
      <c r="BF23" s="258">
        <f>IFERROR(VLOOKUP(A23,CFR20212022_BenchMarkDataReport!$B$4:$CL$90,16,0),0)</f>
        <v>395446.57</v>
      </c>
      <c r="BG23" s="296">
        <f t="shared" si="13"/>
        <v>378970.26000000042</v>
      </c>
      <c r="BH23" s="261">
        <f>IFERROR(VLOOKUP(A23,'Pupil Nos BenchmarkData 21-22'!$A$6:$E$94,5,0),0)</f>
        <v>218.5</v>
      </c>
      <c r="BI23" s="260">
        <f t="shared" si="1"/>
        <v>1083644.0900000001</v>
      </c>
      <c r="BJ23" s="227" t="s">
        <v>183</v>
      </c>
      <c r="BK23" s="262">
        <f t="shared" si="14"/>
        <v>0.76080232871326803</v>
      </c>
      <c r="BL23" s="263">
        <f t="shared" si="15"/>
        <v>4667.6384439359272</v>
      </c>
      <c r="BM23" s="264">
        <f t="shared" si="16"/>
        <v>0</v>
      </c>
      <c r="BN23" s="265">
        <f t="shared" si="17"/>
        <v>0</v>
      </c>
      <c r="BO23" s="262">
        <f t="shared" si="18"/>
        <v>4.7567043700881301E-2</v>
      </c>
      <c r="BP23" s="263">
        <f t="shared" si="19"/>
        <v>291.8310755148741</v>
      </c>
      <c r="BQ23" s="264">
        <f t="shared" si="20"/>
        <v>0</v>
      </c>
      <c r="BR23" s="265">
        <f t="shared" si="21"/>
        <v>0</v>
      </c>
      <c r="BS23" s="262">
        <f t="shared" si="22"/>
        <v>2.4568572781681428E-2</v>
      </c>
      <c r="BT23" s="263">
        <f t="shared" si="23"/>
        <v>150.73194508009152</v>
      </c>
      <c r="BU23" s="264">
        <f t="shared" si="24"/>
        <v>7.4597312888417941E-4</v>
      </c>
      <c r="BV23" s="265">
        <f t="shared" si="25"/>
        <v>4.5766590389016022</v>
      </c>
      <c r="BW23" s="262">
        <f t="shared" si="26"/>
        <v>1.5665435706567769E-3</v>
      </c>
      <c r="BX23" s="263">
        <f t="shared" si="27"/>
        <v>9.610983981693364</v>
      </c>
      <c r="BY23" s="264">
        <f t="shared" si="28"/>
        <v>5.7164278933496536E-2</v>
      </c>
      <c r="BZ23" s="266">
        <f t="shared" si="29"/>
        <v>350.71157894736842</v>
      </c>
      <c r="CA23" s="267">
        <f t="shared" si="30"/>
        <v>2.2811462915519901E-2</v>
      </c>
      <c r="CB23" s="268">
        <f t="shared" si="31"/>
        <v>139.95180778032037</v>
      </c>
      <c r="CC23" s="264">
        <f t="shared" si="32"/>
        <v>1.446074132153884E-2</v>
      </c>
      <c r="CD23" s="265">
        <f t="shared" si="33"/>
        <v>88.718855835240277</v>
      </c>
      <c r="CE23" s="269">
        <f t="shared" si="34"/>
        <v>0.59833952492649123</v>
      </c>
      <c r="CF23" s="267">
        <f t="shared" si="35"/>
        <v>0.48367934625540804</v>
      </c>
      <c r="CG23" s="267">
        <f t="shared" si="36"/>
        <v>0.47780667953287242</v>
      </c>
      <c r="CH23" s="268">
        <f t="shared" si="37"/>
        <v>2967.4466361556065</v>
      </c>
      <c r="CI23" s="264">
        <f t="shared" si="38"/>
        <v>0.21555769293218771</v>
      </c>
      <c r="CJ23" s="270">
        <f t="shared" si="39"/>
        <v>0.17425023695463451</v>
      </c>
      <c r="CK23" s="270">
        <f t="shared" si="40"/>
        <v>0.1721345510650471</v>
      </c>
      <c r="CL23" s="271">
        <f t="shared" si="41"/>
        <v>1069.0518077803204</v>
      </c>
      <c r="CM23" s="269">
        <f t="shared" si="42"/>
        <v>3.4924547966666802E-2</v>
      </c>
      <c r="CN23" s="267">
        <f t="shared" si="43"/>
        <v>2.8231934921662299E-2</v>
      </c>
      <c r="CO23" s="267">
        <f t="shared" si="44"/>
        <v>2.7889152568000071E-2</v>
      </c>
      <c r="CP23" s="268">
        <f t="shared" si="45"/>
        <v>173.20723112128147</v>
      </c>
      <c r="CQ23" s="264">
        <f t="shared" si="46"/>
        <v>5.1432283453878291E-2</v>
      </c>
      <c r="CR23" s="270">
        <f t="shared" si="47"/>
        <v>4.1576282697438231E-2</v>
      </c>
      <c r="CS23" s="270">
        <f t="shared" si="48"/>
        <v>4.1071477905308351E-2</v>
      </c>
      <c r="CT23" s="265">
        <f t="shared" si="49"/>
        <v>255.07684210526315</v>
      </c>
      <c r="CU23" s="269">
        <f t="shared" si="50"/>
        <v>0.95459358801098604</v>
      </c>
      <c r="CV23" s="267">
        <f t="shared" si="51"/>
        <v>0.77166421965101184</v>
      </c>
      <c r="CW23" s="267">
        <f t="shared" si="52"/>
        <v>0.7622949405639472</v>
      </c>
      <c r="CX23" s="268">
        <f t="shared" si="53"/>
        <v>4734.2778032036613</v>
      </c>
      <c r="CY23" s="264">
        <f t="shared" si="54"/>
        <v>3.2359203841549118E-2</v>
      </c>
      <c r="CZ23" s="270">
        <f t="shared" si="55"/>
        <v>2.5840585647016152E-2</v>
      </c>
      <c r="DA23" s="265">
        <f t="shared" si="56"/>
        <v>160.48448512585813</v>
      </c>
      <c r="DB23" s="269">
        <f t="shared" si="57"/>
        <v>1.6667266393294007E-3</v>
      </c>
      <c r="DC23" s="268">
        <f t="shared" si="58"/>
        <v>10.351304347826089</v>
      </c>
      <c r="DD23" s="264">
        <f t="shared" si="59"/>
        <v>1.7573076045659972E-2</v>
      </c>
      <c r="DE23" s="270">
        <f t="shared" si="60"/>
        <v>1.4033057761957148E-2</v>
      </c>
      <c r="DF23" s="265">
        <f t="shared" si="61"/>
        <v>87.153135011441648</v>
      </c>
      <c r="DG23" s="269">
        <f t="shared" si="62"/>
        <v>2.7993323896594127E-3</v>
      </c>
      <c r="DH23" s="267">
        <f t="shared" si="63"/>
        <v>2.2354192866939683E-3</v>
      </c>
      <c r="DI23" s="272">
        <f t="shared" si="64"/>
        <v>13.883203661327231</v>
      </c>
      <c r="DJ23" s="264">
        <f t="shared" si="65"/>
        <v>5.7300067958659738E-2</v>
      </c>
      <c r="DK23" s="270">
        <f t="shared" si="66"/>
        <v>4.631961997502989E-2</v>
      </c>
      <c r="DL23" s="270">
        <f t="shared" si="67"/>
        <v>4.5757223228230996E-2</v>
      </c>
      <c r="DM23" s="265">
        <f t="shared" si="68"/>
        <v>284.17794050343247</v>
      </c>
      <c r="DN23" s="269">
        <f t="shared" si="69"/>
        <v>6.1285527797230914E-3</v>
      </c>
      <c r="DO23" s="267">
        <f t="shared" si="70"/>
        <v>4.893982984629331E-3</v>
      </c>
      <c r="DP23" s="268">
        <f t="shared" si="71"/>
        <v>30.394370709382152</v>
      </c>
      <c r="DQ23" s="264">
        <f t="shared" si="72"/>
        <v>3.2475884217667811E-2</v>
      </c>
      <c r="DR23" s="270">
        <f t="shared" si="73"/>
        <v>2.5933761278505264E-2</v>
      </c>
      <c r="DS23" s="265">
        <f t="shared" si="74"/>
        <v>161.06315789473686</v>
      </c>
      <c r="DT23" s="269">
        <f t="shared" si="75"/>
        <v>5.3599510458002972E-2</v>
      </c>
      <c r="DU23" s="268">
        <f t="shared" si="76"/>
        <v>332.88292906178486</v>
      </c>
      <c r="DV23" s="264">
        <f t="shared" si="2"/>
        <v>1.6179096533439838E-2</v>
      </c>
      <c r="DW23" s="265">
        <f t="shared" si="3"/>
        <v>100.48123569794051</v>
      </c>
      <c r="DX23" s="264">
        <f t="shared" si="77"/>
        <v>1.9379056457549636E-5</v>
      </c>
      <c r="DY23" s="270">
        <f t="shared" si="78"/>
        <v>1.5665435706567769E-5</v>
      </c>
      <c r="DZ23" s="270">
        <f t="shared" si="79"/>
        <v>1.5475231424164107E-5</v>
      </c>
      <c r="EA23" s="265">
        <f t="shared" si="80"/>
        <v>9.6109839816933634E-2</v>
      </c>
      <c r="EB23" s="273">
        <f>IFERROR(VLOOKUP(A23,'BARNET SCHS PUPIL PREMIUM Nos'!$E$31:$V$117,17,0),0)</f>
        <v>21</v>
      </c>
      <c r="EC23" s="258">
        <f>IFERROR(VLOOKUP(A23,CFR20212022_BenchMarkDataReport!$B$4:$CL$90,36,0),0)</f>
        <v>0</v>
      </c>
      <c r="ED23" s="258">
        <f>IFERROR(VLOOKUP(A23,CFR20212022_BenchMarkDataReport!$B$4:$CL$90,37,0),0)</f>
        <v>0</v>
      </c>
      <c r="EE23" s="258">
        <f>IFERROR(VLOOKUP(A23,CFR20212022_BenchMarkDataReport!$B$4:$CL$90,38,0),0)</f>
        <v>10035</v>
      </c>
      <c r="EF23" s="258">
        <f>IFERROR(VLOOKUP(A23,CFR20212022_BenchMarkDataReport!$B$4:$CL$90,39,0),0)</f>
        <v>51408</v>
      </c>
      <c r="EG23" s="227"/>
    </row>
    <row r="24" spans="1:137" s="5" customFormat="1">
      <c r="A24" s="293">
        <v>2011</v>
      </c>
      <c r="B24" s="294">
        <v>10051</v>
      </c>
      <c r="C24" s="293" t="s">
        <v>46</v>
      </c>
      <c r="D24" s="258">
        <f>IFERROR(VLOOKUP(A24,CFR20212022_BenchMarkDataReport!$B$4:$CL$90,19,0),0)</f>
        <v>1004452.16</v>
      </c>
      <c r="E24" s="258">
        <f>IFERROR(VLOOKUP(A24,CFR20212022_BenchMarkDataReport!$B$4:$CL$90,20,0),0)</f>
        <v>0</v>
      </c>
      <c r="F24" s="258">
        <f>IFERROR(VLOOKUP(A24,CFR20212022_BenchMarkDataReport!$B$4:$CL$90,21,0),0)</f>
        <v>13904.91</v>
      </c>
      <c r="G24" s="258">
        <f>IFERROR(VLOOKUP(A24,CFR20212022_BenchMarkDataReport!$B$4:$CL$90,22,0),0)</f>
        <v>0</v>
      </c>
      <c r="H24" s="258">
        <f>IFERROR(VLOOKUP(A24,CFR20212022_BenchMarkDataReport!$B$4:$CL$90,23,0),0)</f>
        <v>49074.96</v>
      </c>
      <c r="I24" s="258">
        <f>IFERROR(VLOOKUP(A24,CFR20212022_BenchMarkDataReport!$B$4:$CL$90,24,0),0)</f>
        <v>0</v>
      </c>
      <c r="J24" s="258">
        <f>IFERROR(VLOOKUP(A24,CFR20212022_BenchMarkDataReport!$B$4:$CL$90,25,0),0)</f>
        <v>0</v>
      </c>
      <c r="K24" s="258">
        <f>IFERROR(VLOOKUP(A24,CFR20212022_BenchMarkDataReport!$B$4:$CL$90,26,0),0)</f>
        <v>10417.299999999999</v>
      </c>
      <c r="L24" s="258">
        <f>IFERROR(VLOOKUP(A24,CFR20212022_BenchMarkDataReport!$B$4:$CL$90,27,0),0)</f>
        <v>69465.5</v>
      </c>
      <c r="M24" s="258">
        <f>IFERROR(VLOOKUP(A24,CFR20212022_BenchMarkDataReport!$B$4:$CL$90,28,0),0)</f>
        <v>23629.06</v>
      </c>
      <c r="N24" s="258">
        <f>IFERROR(VLOOKUP(A24,CFR20212022_BenchMarkDataReport!$B$4:$CL$90,29,0),0)</f>
        <v>0</v>
      </c>
      <c r="O24" s="258">
        <f>IFERROR(VLOOKUP(A24,CFR20212022_BenchMarkDataReport!$B$4:$CL$90,30,0),0)</f>
        <v>0</v>
      </c>
      <c r="P24" s="258">
        <f>IFERROR(VLOOKUP(A24,CFR20212022_BenchMarkDataReport!$B$4:$CL$90,31,0),0)</f>
        <v>7161.82</v>
      </c>
      <c r="Q24" s="258">
        <f>IFERROR(VLOOKUP(A24,CFR20212022_BenchMarkDataReport!$B$4:$CL$90,32,0),0)</f>
        <v>3604.82</v>
      </c>
      <c r="R24" s="258">
        <f>IFERROR(VLOOKUP(A24,CFR20212022_BenchMarkDataReport!$B$4:$CL$90,33,0),0)</f>
        <v>0</v>
      </c>
      <c r="S24" s="258">
        <f>IFERROR(VLOOKUP(A24,CFR20212022_BenchMarkDataReport!$B$4:$CL$90,34,0),0)</f>
        <v>0</v>
      </c>
      <c r="T24" s="258">
        <f>IFERROR(VLOOKUP(A24,CFR20212022_BenchMarkDataReport!$B$4:$CL$90,35,0),0)</f>
        <v>0</v>
      </c>
      <c r="U24" s="258">
        <f t="shared" si="0"/>
        <v>60749.950000000004</v>
      </c>
      <c r="V24" s="258">
        <f>IFERROR(VLOOKUP(A24,CFR20212022_BenchMarkDataReport!$B$4:$CL$90,40,0),0)</f>
        <v>599439.62</v>
      </c>
      <c r="W24" s="258">
        <f>IFERROR(VLOOKUP(A24,CFR20212022_BenchMarkDataReport!$B$4:$CL$90,41,0),0)</f>
        <v>0</v>
      </c>
      <c r="X24" s="258">
        <f>IFERROR(VLOOKUP(A24,CFR20212022_BenchMarkDataReport!$B$4:$CL$90,42,0),0)</f>
        <v>235290.27</v>
      </c>
      <c r="Y24" s="258">
        <f>IFERROR(VLOOKUP(A24,CFR20212022_BenchMarkDataReport!$B$4:$CL$90,43,0),0)</f>
        <v>39811.74</v>
      </c>
      <c r="Z24" s="258">
        <f>IFERROR(VLOOKUP(A24,CFR20212022_BenchMarkDataReport!$B$4:$CL$90,44,0),0)</f>
        <v>54890.87</v>
      </c>
      <c r="AA24" s="258">
        <f>IFERROR(VLOOKUP(A24,CFR20212022_BenchMarkDataReport!$B$4:$CL$90,45,0),0)</f>
        <v>0</v>
      </c>
      <c r="AB24" s="258">
        <f>IFERROR(VLOOKUP(A24,CFR20212022_BenchMarkDataReport!$B$4:$CL$90,46,0),0)</f>
        <v>52179.78</v>
      </c>
      <c r="AC24" s="258">
        <f>IFERROR(VLOOKUP(A24,CFR20212022_BenchMarkDataReport!$B$4:$CL$90,47,0),0)</f>
        <v>6959.63</v>
      </c>
      <c r="AD24" s="258">
        <f>IFERROR(VLOOKUP(A24,CFR20212022_BenchMarkDataReport!$B$4:$CL$90,48,0),0)</f>
        <v>1809.84</v>
      </c>
      <c r="AE24" s="258">
        <f>IFERROR(VLOOKUP(A24,CFR20212022_BenchMarkDataReport!$B$4:$CL$90,49,0),0)</f>
        <v>342.76</v>
      </c>
      <c r="AF24" s="258">
        <f>IFERROR(VLOOKUP(A24,CFR20212022_BenchMarkDataReport!$B$4:$CL$90,50,0),0)</f>
        <v>0</v>
      </c>
      <c r="AG24" s="258">
        <f>IFERROR(VLOOKUP(A24,CFR20212022_BenchMarkDataReport!$B$4:$CL$90,51,0),0)</f>
        <v>10316.15</v>
      </c>
      <c r="AH24" s="258">
        <f>IFERROR(VLOOKUP(A24,CFR20212022_BenchMarkDataReport!$B$4:$CL$90,52,0),0)</f>
        <v>4666.25</v>
      </c>
      <c r="AI24" s="258">
        <f>IFERROR(VLOOKUP(A24,CFR20212022_BenchMarkDataReport!$B$4:$CL$90,53,0),0)</f>
        <v>16851.75</v>
      </c>
      <c r="AJ24" s="258">
        <f>IFERROR(VLOOKUP(A24,CFR20212022_BenchMarkDataReport!$B$4:$CL$90,54,0),0)</f>
        <v>1242.1500000000001</v>
      </c>
      <c r="AK24" s="258">
        <f>IFERROR(VLOOKUP(A24,CFR20212022_BenchMarkDataReport!$B$4:$CL$90,55,0),0)</f>
        <v>25253.119999999999</v>
      </c>
      <c r="AL24" s="258">
        <f>IFERROR(VLOOKUP(A24,CFR20212022_BenchMarkDataReport!$B$4:$CL$90,56,0),0)</f>
        <v>20958</v>
      </c>
      <c r="AM24" s="258">
        <f>IFERROR(VLOOKUP(A24,CFR20212022_BenchMarkDataReport!$B$4:$CL$90,57,0),0)</f>
        <v>7014.35</v>
      </c>
      <c r="AN24" s="258">
        <f>IFERROR(VLOOKUP(A24,CFR20212022_BenchMarkDataReport!$B$4:$CL$90,58,0),0)</f>
        <v>38933.15</v>
      </c>
      <c r="AO24" s="258">
        <f>IFERROR(VLOOKUP(A24,CFR20212022_BenchMarkDataReport!$B$4:$CL$90,59,0),0)</f>
        <v>6529.94</v>
      </c>
      <c r="AP24" s="258">
        <f>IFERROR(VLOOKUP(A24,CFR20212022_BenchMarkDataReport!$B$4:$CL$90,60,0),0)</f>
        <v>0</v>
      </c>
      <c r="AQ24" s="258">
        <f>IFERROR(VLOOKUP(A24,CFR20212022_BenchMarkDataReport!$B$4:$CL$90,61,0),0)</f>
        <v>8132.63</v>
      </c>
      <c r="AR24" s="258">
        <f>IFERROR(VLOOKUP(A24,CFR20212022_BenchMarkDataReport!$B$4:$CL$90,62,0),0)</f>
        <v>8620.83</v>
      </c>
      <c r="AS24" s="258">
        <f>IFERROR(VLOOKUP(A24,CFR20212022_BenchMarkDataReport!$B$4:$CL$90,63,0),0)</f>
        <v>7177.58</v>
      </c>
      <c r="AT24" s="258">
        <f>IFERROR(VLOOKUP(A24,CFR20212022_BenchMarkDataReport!$B$4:$CL$90,64,0),0)</f>
        <v>64173.1</v>
      </c>
      <c r="AU24" s="258">
        <f>IFERROR(VLOOKUP(A24,CFR20212022_BenchMarkDataReport!$B$4:$CL$90,65,0),0)</f>
        <v>357.5</v>
      </c>
      <c r="AV24" s="258">
        <f>IFERROR(VLOOKUP(A24,CFR20212022_BenchMarkDataReport!$B$4:$CL$90,66,0),0)</f>
        <v>43065.19</v>
      </c>
      <c r="AW24" s="258">
        <f>IFERROR(VLOOKUP(A24,CFR20212022_BenchMarkDataReport!$B$4:$CL$90,67,0),0)</f>
        <v>21845.63</v>
      </c>
      <c r="AX24" s="258">
        <f>IFERROR(VLOOKUP(A24,CFR20212022_BenchMarkDataReport!$B$4:$CL$90,68,0),0)</f>
        <v>11798.5</v>
      </c>
      <c r="AY24" s="258">
        <f>IFERROR(VLOOKUP(A24,CFR20212022_BenchMarkDataReport!$B$4:$CL$90,69,0),0)</f>
        <v>0</v>
      </c>
      <c r="AZ24" s="258">
        <f>IFERROR(VLOOKUP(A24,CFR20212022_BenchMarkDataReport!$B$4:$CL$90,70,0),0)</f>
        <v>0</v>
      </c>
      <c r="BA24" s="258">
        <f>IFERROR(VLOOKUP(A24,CFR20212022_BenchMarkDataReport!$B$4:$CL$90,71,0),0)</f>
        <v>0</v>
      </c>
      <c r="BB24" s="258">
        <f>IFERROR(VLOOKUP(A24,CFR20212022_BenchMarkDataReport!$B$4:$CL$90,72,0),0)</f>
        <v>0</v>
      </c>
      <c r="BC24" s="259">
        <f t="shared" si="10"/>
        <v>1242460.4800000002</v>
      </c>
      <c r="BD24" s="260">
        <f t="shared" si="11"/>
        <v>1287660.33</v>
      </c>
      <c r="BE24" s="296">
        <f t="shared" si="12"/>
        <v>-45199.84999999986</v>
      </c>
      <c r="BF24" s="258">
        <f>IFERROR(VLOOKUP(A24,CFR20212022_BenchMarkDataReport!$B$4:$CL$90,16,0),0)</f>
        <v>-130596.25</v>
      </c>
      <c r="BG24" s="296">
        <f t="shared" si="13"/>
        <v>-175796.09999999986</v>
      </c>
      <c r="BH24" s="261">
        <f>IFERROR(VLOOKUP(A24,'Pupil Nos BenchmarkData 21-22'!$A$6:$E$94,5,0),0)</f>
        <v>210</v>
      </c>
      <c r="BI24" s="260">
        <f t="shared" si="1"/>
        <v>1018357.0700000001</v>
      </c>
      <c r="BJ24" s="227" t="s">
        <v>183</v>
      </c>
      <c r="BK24" s="262">
        <f t="shared" si="14"/>
        <v>0.8084379150635036</v>
      </c>
      <c r="BL24" s="263">
        <f t="shared" si="15"/>
        <v>4783.1055238095241</v>
      </c>
      <c r="BM24" s="264">
        <f t="shared" si="16"/>
        <v>0</v>
      </c>
      <c r="BN24" s="265">
        <f t="shared" si="17"/>
        <v>0</v>
      </c>
      <c r="BO24" s="262">
        <f t="shared" si="18"/>
        <v>1.1191430410728233E-2</v>
      </c>
      <c r="BP24" s="263">
        <f t="shared" si="19"/>
        <v>66.213857142857137</v>
      </c>
      <c r="BQ24" s="264">
        <f t="shared" si="20"/>
        <v>0</v>
      </c>
      <c r="BR24" s="265">
        <f t="shared" si="21"/>
        <v>0</v>
      </c>
      <c r="BS24" s="262">
        <f t="shared" si="22"/>
        <v>3.9498206011349346E-2</v>
      </c>
      <c r="BT24" s="263">
        <f t="shared" si="23"/>
        <v>233.69028571428572</v>
      </c>
      <c r="BU24" s="264">
        <f t="shared" si="24"/>
        <v>0</v>
      </c>
      <c r="BV24" s="265">
        <f t="shared" si="25"/>
        <v>0</v>
      </c>
      <c r="BW24" s="262">
        <f t="shared" si="26"/>
        <v>0</v>
      </c>
      <c r="BX24" s="263">
        <f t="shared" si="27"/>
        <v>0</v>
      </c>
      <c r="BY24" s="264">
        <f t="shared" si="28"/>
        <v>6.4294036941923483E-2</v>
      </c>
      <c r="BZ24" s="266">
        <f t="shared" si="29"/>
        <v>380.39428571428573</v>
      </c>
      <c r="CA24" s="267">
        <f t="shared" si="30"/>
        <v>5.7642235831919571E-3</v>
      </c>
      <c r="CB24" s="268">
        <f t="shared" si="31"/>
        <v>34.103904761904758</v>
      </c>
      <c r="CC24" s="264">
        <f t="shared" si="32"/>
        <v>2.9013558644537325E-3</v>
      </c>
      <c r="CD24" s="265">
        <f t="shared" si="33"/>
        <v>17.165809523809525</v>
      </c>
      <c r="CE24" s="269">
        <f t="shared" si="34"/>
        <v>0.58898507966365865</v>
      </c>
      <c r="CF24" s="267">
        <f t="shared" si="35"/>
        <v>0.48274945533881281</v>
      </c>
      <c r="CG24" s="267">
        <f t="shared" si="36"/>
        <v>0.46580383508436574</v>
      </c>
      <c r="CH24" s="268">
        <f t="shared" si="37"/>
        <v>2856.1767619047619</v>
      </c>
      <c r="CI24" s="264">
        <f t="shared" si="38"/>
        <v>0.23104888936451334</v>
      </c>
      <c r="CJ24" s="270">
        <f t="shared" si="39"/>
        <v>0.18937444996238428</v>
      </c>
      <c r="CK24" s="270">
        <f t="shared" si="40"/>
        <v>0.18272696961938711</v>
      </c>
      <c r="CL24" s="271">
        <f t="shared" si="41"/>
        <v>1120.4298571428571</v>
      </c>
      <c r="CM24" s="269">
        <f t="shared" si="42"/>
        <v>3.9094087106401686E-2</v>
      </c>
      <c r="CN24" s="267">
        <f t="shared" si="43"/>
        <v>3.2042661026932616E-2</v>
      </c>
      <c r="CO24" s="267">
        <f t="shared" si="44"/>
        <v>3.0917889658059122E-2</v>
      </c>
      <c r="CP24" s="268">
        <f t="shared" si="45"/>
        <v>189.57971428571429</v>
      </c>
      <c r="CQ24" s="264">
        <f t="shared" si="46"/>
        <v>5.3901398259060547E-2</v>
      </c>
      <c r="CR24" s="270">
        <f t="shared" si="47"/>
        <v>4.4179167775219692E-2</v>
      </c>
      <c r="CS24" s="270">
        <f t="shared" si="48"/>
        <v>4.2628377003739795E-2</v>
      </c>
      <c r="CT24" s="265">
        <f t="shared" si="49"/>
        <v>261.38509523809523</v>
      </c>
      <c r="CU24" s="269">
        <f t="shared" si="50"/>
        <v>0.96391757755459972</v>
      </c>
      <c r="CV24" s="267">
        <f t="shared" si="51"/>
        <v>0.79005513318218368</v>
      </c>
      <c r="CW24" s="267">
        <f t="shared" si="52"/>
        <v>0.76232237425532867</v>
      </c>
      <c r="CX24" s="268">
        <f t="shared" si="53"/>
        <v>4674.3441904761903</v>
      </c>
      <c r="CY24" s="264">
        <f t="shared" si="54"/>
        <v>1.0130189403997557E-2</v>
      </c>
      <c r="CZ24" s="270">
        <f t="shared" si="55"/>
        <v>8.0115460262723155E-3</v>
      </c>
      <c r="DA24" s="265">
        <f t="shared" si="56"/>
        <v>49.124523809523808</v>
      </c>
      <c r="DB24" s="269">
        <f t="shared" si="57"/>
        <v>9.6465657212566297E-4</v>
      </c>
      <c r="DC24" s="268">
        <f t="shared" si="58"/>
        <v>5.915</v>
      </c>
      <c r="DD24" s="264">
        <f t="shared" si="59"/>
        <v>2.479790315591367E-2</v>
      </c>
      <c r="DE24" s="270">
        <f t="shared" si="60"/>
        <v>1.9611631586103143E-2</v>
      </c>
      <c r="DF24" s="265">
        <f t="shared" si="61"/>
        <v>120.25295238095238</v>
      </c>
      <c r="DG24" s="269">
        <f t="shared" si="62"/>
        <v>6.8879081872530229E-3</v>
      </c>
      <c r="DH24" s="267">
        <f t="shared" si="63"/>
        <v>5.4473604851987632E-3</v>
      </c>
      <c r="DI24" s="272">
        <f t="shared" si="64"/>
        <v>33.401666666666671</v>
      </c>
      <c r="DJ24" s="264">
        <f t="shared" si="65"/>
        <v>3.82313347124894E-2</v>
      </c>
      <c r="DK24" s="270">
        <f t="shared" si="66"/>
        <v>3.1335523847003964E-2</v>
      </c>
      <c r="DL24" s="270">
        <f t="shared" si="67"/>
        <v>3.023557462549149E-2</v>
      </c>
      <c r="DM24" s="265">
        <f t="shared" si="68"/>
        <v>185.39595238095239</v>
      </c>
      <c r="DN24" s="269">
        <f t="shared" si="69"/>
        <v>7.9860298902820013E-3</v>
      </c>
      <c r="DO24" s="267">
        <f t="shared" si="70"/>
        <v>6.3158193279123538E-3</v>
      </c>
      <c r="DP24" s="268">
        <f t="shared" si="71"/>
        <v>38.726809523809521</v>
      </c>
      <c r="DQ24" s="264">
        <f t="shared" si="72"/>
        <v>4.2288889888101824E-2</v>
      </c>
      <c r="DR24" s="270">
        <f t="shared" si="73"/>
        <v>3.3444526476947532E-2</v>
      </c>
      <c r="DS24" s="265">
        <f t="shared" si="74"/>
        <v>205.07233333333335</v>
      </c>
      <c r="DT24" s="269">
        <f t="shared" si="75"/>
        <v>4.9836978359036652E-2</v>
      </c>
      <c r="DU24" s="268">
        <f t="shared" si="76"/>
        <v>305.5861904761905</v>
      </c>
      <c r="DV24" s="264">
        <f t="shared" si="2"/>
        <v>1.3087108150640937E-2</v>
      </c>
      <c r="DW24" s="265">
        <f t="shared" si="3"/>
        <v>80.246428571428567</v>
      </c>
      <c r="DX24" s="264">
        <f t="shared" si="77"/>
        <v>3.2405136638369875E-5</v>
      </c>
      <c r="DY24" s="270">
        <f t="shared" si="78"/>
        <v>2.6560200932910152E-5</v>
      </c>
      <c r="DZ24" s="270">
        <f t="shared" si="79"/>
        <v>2.5627876568970638E-5</v>
      </c>
      <c r="EA24" s="265">
        <f t="shared" si="80"/>
        <v>0.15714285714285714</v>
      </c>
      <c r="EB24" s="273">
        <f>IFERROR(VLOOKUP(A24,'BARNET SCHS PUPIL PREMIUM Nos'!$E$31:$V$117,17,0),0)</f>
        <v>33</v>
      </c>
      <c r="EC24" s="258">
        <f>IFERROR(VLOOKUP(A24,CFR20212022_BenchMarkDataReport!$B$4:$CL$90,36,0),0)</f>
        <v>0</v>
      </c>
      <c r="ED24" s="258">
        <f>IFERROR(VLOOKUP(A24,CFR20212022_BenchMarkDataReport!$B$4:$CL$90,37,0),0)</f>
        <v>0</v>
      </c>
      <c r="EE24" s="258">
        <f>IFERROR(VLOOKUP(A24,CFR20212022_BenchMarkDataReport!$B$4:$CL$90,38,0),0)</f>
        <v>11978.12</v>
      </c>
      <c r="EF24" s="258">
        <f>IFERROR(VLOOKUP(A24,CFR20212022_BenchMarkDataReport!$B$4:$CL$90,39,0),0)</f>
        <v>48771.83</v>
      </c>
      <c r="EG24" s="227"/>
    </row>
    <row r="25" spans="1:137" s="5" customFormat="1">
      <c r="A25" s="293">
        <v>2014</v>
      </c>
      <c r="B25" s="294">
        <v>10054</v>
      </c>
      <c r="C25" s="293" t="s">
        <v>48</v>
      </c>
      <c r="D25" s="258">
        <f>IFERROR(VLOOKUP(A25,CFR20212022_BenchMarkDataReport!$B$4:$CL$90,19,0),0)</f>
        <v>3398279.37</v>
      </c>
      <c r="E25" s="258">
        <f>IFERROR(VLOOKUP(A25,CFR20212022_BenchMarkDataReport!$B$4:$CL$90,20,0),0)</f>
        <v>0</v>
      </c>
      <c r="F25" s="258">
        <f>IFERROR(VLOOKUP(A25,CFR20212022_BenchMarkDataReport!$B$4:$CL$90,21,0),0)</f>
        <v>252547.7</v>
      </c>
      <c r="G25" s="258">
        <f>IFERROR(VLOOKUP(A25,CFR20212022_BenchMarkDataReport!$B$4:$CL$90,22,0),0)</f>
        <v>0</v>
      </c>
      <c r="H25" s="258">
        <f>IFERROR(VLOOKUP(A25,CFR20212022_BenchMarkDataReport!$B$4:$CL$90,23,0),0)</f>
        <v>280760.07</v>
      </c>
      <c r="I25" s="258">
        <f>IFERROR(VLOOKUP(A25,CFR20212022_BenchMarkDataReport!$B$4:$CL$90,24,0),0)</f>
        <v>0</v>
      </c>
      <c r="J25" s="258">
        <f>IFERROR(VLOOKUP(A25,CFR20212022_BenchMarkDataReport!$B$4:$CL$90,25,0),0)</f>
        <v>10735.15</v>
      </c>
      <c r="K25" s="258">
        <f>IFERROR(VLOOKUP(A25,CFR20212022_BenchMarkDataReport!$B$4:$CL$90,26,0),0)</f>
        <v>56660.32</v>
      </c>
      <c r="L25" s="258">
        <f>IFERROR(VLOOKUP(A25,CFR20212022_BenchMarkDataReport!$B$4:$CL$90,27,0),0)</f>
        <v>120929.02</v>
      </c>
      <c r="M25" s="258">
        <f>IFERROR(VLOOKUP(A25,CFR20212022_BenchMarkDataReport!$B$4:$CL$90,28,0),0)</f>
        <v>38523.32</v>
      </c>
      <c r="N25" s="258">
        <f>IFERROR(VLOOKUP(A25,CFR20212022_BenchMarkDataReport!$B$4:$CL$90,29,0),0)</f>
        <v>0</v>
      </c>
      <c r="O25" s="258">
        <f>IFERROR(VLOOKUP(A25,CFR20212022_BenchMarkDataReport!$B$4:$CL$90,30,0),0)</f>
        <v>0</v>
      </c>
      <c r="P25" s="258">
        <f>IFERROR(VLOOKUP(A25,CFR20212022_BenchMarkDataReport!$B$4:$CL$90,31,0),0)</f>
        <v>22197.91</v>
      </c>
      <c r="Q25" s="258">
        <f>IFERROR(VLOOKUP(A25,CFR20212022_BenchMarkDataReport!$B$4:$CL$90,32,0),0)</f>
        <v>2721.34</v>
      </c>
      <c r="R25" s="258">
        <f>IFERROR(VLOOKUP(A25,CFR20212022_BenchMarkDataReport!$B$4:$CL$90,33,0),0)</f>
        <v>0</v>
      </c>
      <c r="S25" s="258">
        <f>IFERROR(VLOOKUP(A25,CFR20212022_BenchMarkDataReport!$B$4:$CL$90,34,0),0)</f>
        <v>0</v>
      </c>
      <c r="T25" s="258">
        <f>IFERROR(VLOOKUP(A25,CFR20212022_BenchMarkDataReport!$B$4:$CL$90,35,0),0)</f>
        <v>0</v>
      </c>
      <c r="U25" s="258">
        <f t="shared" si="0"/>
        <v>150341.16999999998</v>
      </c>
      <c r="V25" s="258">
        <f>IFERROR(VLOOKUP(A25,CFR20212022_BenchMarkDataReport!$B$4:$CL$90,40,0),0)</f>
        <v>1926783.73</v>
      </c>
      <c r="W25" s="258">
        <f>IFERROR(VLOOKUP(A25,CFR20212022_BenchMarkDataReport!$B$4:$CL$90,41,0),0)</f>
        <v>0</v>
      </c>
      <c r="X25" s="258">
        <f>IFERROR(VLOOKUP(A25,CFR20212022_BenchMarkDataReport!$B$4:$CL$90,42,0),0)</f>
        <v>949007.34</v>
      </c>
      <c r="Y25" s="258">
        <f>IFERROR(VLOOKUP(A25,CFR20212022_BenchMarkDataReport!$B$4:$CL$90,43,0),0)</f>
        <v>125121.41</v>
      </c>
      <c r="Z25" s="258">
        <f>IFERROR(VLOOKUP(A25,CFR20212022_BenchMarkDataReport!$B$4:$CL$90,44,0),0)</f>
        <v>158500.31</v>
      </c>
      <c r="AA25" s="258">
        <f>IFERROR(VLOOKUP(A25,CFR20212022_BenchMarkDataReport!$B$4:$CL$90,45,0),0)</f>
        <v>0</v>
      </c>
      <c r="AB25" s="258">
        <f>IFERROR(VLOOKUP(A25,CFR20212022_BenchMarkDataReport!$B$4:$CL$90,46,0),0)</f>
        <v>75347.09</v>
      </c>
      <c r="AC25" s="258">
        <f>IFERROR(VLOOKUP(A25,CFR20212022_BenchMarkDataReport!$B$4:$CL$90,47,0),0)</f>
        <v>22155.759999999998</v>
      </c>
      <c r="AD25" s="258">
        <f>IFERROR(VLOOKUP(A25,CFR20212022_BenchMarkDataReport!$B$4:$CL$90,48,0),0)</f>
        <v>10858.02</v>
      </c>
      <c r="AE25" s="258">
        <f>IFERROR(VLOOKUP(A25,CFR20212022_BenchMarkDataReport!$B$4:$CL$90,49,0),0)</f>
        <v>1029.92</v>
      </c>
      <c r="AF25" s="258">
        <f>IFERROR(VLOOKUP(A25,CFR20212022_BenchMarkDataReport!$B$4:$CL$90,50,0),0)</f>
        <v>1913</v>
      </c>
      <c r="AG25" s="258">
        <f>IFERROR(VLOOKUP(A25,CFR20212022_BenchMarkDataReport!$B$4:$CL$90,51,0),0)</f>
        <v>115184.1</v>
      </c>
      <c r="AH25" s="258">
        <f>IFERROR(VLOOKUP(A25,CFR20212022_BenchMarkDataReport!$B$4:$CL$90,52,0),0)</f>
        <v>1512.8</v>
      </c>
      <c r="AI25" s="258">
        <f>IFERROR(VLOOKUP(A25,CFR20212022_BenchMarkDataReport!$B$4:$CL$90,53,0),0)</f>
        <v>35871.410000000003</v>
      </c>
      <c r="AJ25" s="258">
        <f>IFERROR(VLOOKUP(A25,CFR20212022_BenchMarkDataReport!$B$4:$CL$90,54,0),0)</f>
        <v>11894.77</v>
      </c>
      <c r="AK25" s="258">
        <f>IFERROR(VLOOKUP(A25,CFR20212022_BenchMarkDataReport!$B$4:$CL$90,55,0),0)</f>
        <v>58950.67</v>
      </c>
      <c r="AL25" s="258">
        <f>IFERROR(VLOOKUP(A25,CFR20212022_BenchMarkDataReport!$B$4:$CL$90,56,0),0)</f>
        <v>110124</v>
      </c>
      <c r="AM25" s="258">
        <f>IFERROR(VLOOKUP(A25,CFR20212022_BenchMarkDataReport!$B$4:$CL$90,57,0),0)</f>
        <v>20015.89</v>
      </c>
      <c r="AN25" s="258">
        <f>IFERROR(VLOOKUP(A25,CFR20212022_BenchMarkDataReport!$B$4:$CL$90,58,0),0)</f>
        <v>90884.89</v>
      </c>
      <c r="AO25" s="258">
        <f>IFERROR(VLOOKUP(A25,CFR20212022_BenchMarkDataReport!$B$4:$CL$90,59,0),0)</f>
        <v>30332.74</v>
      </c>
      <c r="AP25" s="258">
        <f>IFERROR(VLOOKUP(A25,CFR20212022_BenchMarkDataReport!$B$4:$CL$90,60,0),0)</f>
        <v>0</v>
      </c>
      <c r="AQ25" s="258">
        <f>IFERROR(VLOOKUP(A25,CFR20212022_BenchMarkDataReport!$B$4:$CL$90,61,0),0)</f>
        <v>56439.47</v>
      </c>
      <c r="AR25" s="258">
        <f>IFERROR(VLOOKUP(A25,CFR20212022_BenchMarkDataReport!$B$4:$CL$90,62,0),0)</f>
        <v>18314.16</v>
      </c>
      <c r="AS25" s="258">
        <f>IFERROR(VLOOKUP(A25,CFR20212022_BenchMarkDataReport!$B$4:$CL$90,63,0),0)</f>
        <v>14024.19</v>
      </c>
      <c r="AT25" s="258">
        <f>IFERROR(VLOOKUP(A25,CFR20212022_BenchMarkDataReport!$B$4:$CL$90,64,0),0)</f>
        <v>164113.45000000001</v>
      </c>
      <c r="AU25" s="258">
        <f>IFERROR(VLOOKUP(A25,CFR20212022_BenchMarkDataReport!$B$4:$CL$90,65,0),0)</f>
        <v>61831</v>
      </c>
      <c r="AV25" s="258">
        <f>IFERROR(VLOOKUP(A25,CFR20212022_BenchMarkDataReport!$B$4:$CL$90,66,0),0)</f>
        <v>236133.4</v>
      </c>
      <c r="AW25" s="258">
        <f>IFERROR(VLOOKUP(A25,CFR20212022_BenchMarkDataReport!$B$4:$CL$90,67,0),0)</f>
        <v>76981.929999999993</v>
      </c>
      <c r="AX25" s="258">
        <f>IFERROR(VLOOKUP(A25,CFR20212022_BenchMarkDataReport!$B$4:$CL$90,68,0),0)</f>
        <v>0</v>
      </c>
      <c r="AY25" s="258">
        <f>IFERROR(VLOOKUP(A25,CFR20212022_BenchMarkDataReport!$B$4:$CL$90,69,0),0)</f>
        <v>0</v>
      </c>
      <c r="AZ25" s="258">
        <f>IFERROR(VLOOKUP(A25,CFR20212022_BenchMarkDataReport!$B$4:$CL$90,70,0),0)</f>
        <v>12947</v>
      </c>
      <c r="BA25" s="258">
        <f>IFERROR(VLOOKUP(A25,CFR20212022_BenchMarkDataReport!$B$4:$CL$90,71,0),0)</f>
        <v>0</v>
      </c>
      <c r="BB25" s="258">
        <f>IFERROR(VLOOKUP(A25,CFR20212022_BenchMarkDataReport!$B$4:$CL$90,72,0),0)</f>
        <v>0</v>
      </c>
      <c r="BC25" s="259">
        <f t="shared" si="10"/>
        <v>4333695.37</v>
      </c>
      <c r="BD25" s="260">
        <f t="shared" si="11"/>
        <v>4386272.45</v>
      </c>
      <c r="BE25" s="296">
        <f t="shared" si="12"/>
        <v>-52577.080000000075</v>
      </c>
      <c r="BF25" s="258">
        <f>IFERROR(VLOOKUP(A25,CFR20212022_BenchMarkDataReport!$B$4:$CL$90,16,0),0)</f>
        <v>398585.3</v>
      </c>
      <c r="BG25" s="296">
        <f t="shared" si="13"/>
        <v>346008.21999999991</v>
      </c>
      <c r="BH25" s="261">
        <f>IFERROR(VLOOKUP(A25,'Pupil Nos BenchmarkData 21-22'!$A$6:$E$94,5,0),0)</f>
        <v>676</v>
      </c>
      <c r="BI25" s="260">
        <f t="shared" si="1"/>
        <v>3650827.0700000003</v>
      </c>
      <c r="BJ25" s="227" t="s">
        <v>183</v>
      </c>
      <c r="BK25" s="262">
        <f t="shared" si="14"/>
        <v>0.78415280259996678</v>
      </c>
      <c r="BL25" s="263">
        <f t="shared" si="15"/>
        <v>5027.0404881656805</v>
      </c>
      <c r="BM25" s="264">
        <f t="shared" si="16"/>
        <v>0</v>
      </c>
      <c r="BN25" s="265">
        <f t="shared" si="17"/>
        <v>0</v>
      </c>
      <c r="BO25" s="262">
        <f t="shared" si="18"/>
        <v>5.8275369733706041E-2</v>
      </c>
      <c r="BP25" s="263">
        <f t="shared" si="19"/>
        <v>373.59127218934913</v>
      </c>
      <c r="BQ25" s="264">
        <f t="shared" si="20"/>
        <v>0</v>
      </c>
      <c r="BR25" s="265">
        <f t="shared" si="21"/>
        <v>0</v>
      </c>
      <c r="BS25" s="262">
        <f t="shared" si="22"/>
        <v>6.478537276606039E-2</v>
      </c>
      <c r="BT25" s="263">
        <f t="shared" si="23"/>
        <v>415.32554733727812</v>
      </c>
      <c r="BU25" s="264">
        <f t="shared" si="24"/>
        <v>0</v>
      </c>
      <c r="BV25" s="265">
        <f t="shared" si="25"/>
        <v>0</v>
      </c>
      <c r="BW25" s="262">
        <f t="shared" si="26"/>
        <v>2.4771353506557151E-3</v>
      </c>
      <c r="BX25" s="263">
        <f t="shared" si="27"/>
        <v>15.880399408284022</v>
      </c>
      <c r="BY25" s="264">
        <f t="shared" si="28"/>
        <v>4.0978731737667105E-2</v>
      </c>
      <c r="BZ25" s="266">
        <f t="shared" si="29"/>
        <v>262.70612426035501</v>
      </c>
      <c r="CA25" s="267">
        <f t="shared" si="30"/>
        <v>5.1221666741195051E-3</v>
      </c>
      <c r="CB25" s="268">
        <f t="shared" si="31"/>
        <v>32.837144970414201</v>
      </c>
      <c r="CC25" s="264">
        <f t="shared" si="32"/>
        <v>6.2794907524845248E-4</v>
      </c>
      <c r="CD25" s="265">
        <f t="shared" si="33"/>
        <v>4.0256508875739643</v>
      </c>
      <c r="CE25" s="269">
        <f t="shared" si="34"/>
        <v>0.54470252681675224</v>
      </c>
      <c r="CF25" s="267">
        <f t="shared" si="35"/>
        <v>0.45887275413176998</v>
      </c>
      <c r="CG25" s="267">
        <f t="shared" si="36"/>
        <v>0.45337236860423474</v>
      </c>
      <c r="CH25" s="268">
        <f t="shared" si="37"/>
        <v>2941.7377662721892</v>
      </c>
      <c r="CI25" s="264">
        <f t="shared" si="38"/>
        <v>0.25994310927468822</v>
      </c>
      <c r="CJ25" s="270">
        <f t="shared" si="39"/>
        <v>0.21898339845700782</v>
      </c>
      <c r="CK25" s="270">
        <f t="shared" si="40"/>
        <v>0.21635850276468802</v>
      </c>
      <c r="CL25" s="271">
        <f t="shared" si="41"/>
        <v>1403.8570118343196</v>
      </c>
      <c r="CM25" s="269">
        <f t="shared" si="42"/>
        <v>3.4272072492329796E-2</v>
      </c>
      <c r="CN25" s="267">
        <f t="shared" si="43"/>
        <v>2.8871759391800537E-2</v>
      </c>
      <c r="CO25" s="267">
        <f t="shared" si="44"/>
        <v>2.8525681299163257E-2</v>
      </c>
      <c r="CP25" s="268">
        <f t="shared" si="45"/>
        <v>185.09084319526627</v>
      </c>
      <c r="CQ25" s="264">
        <f t="shared" si="46"/>
        <v>4.34149048861961E-2</v>
      </c>
      <c r="CR25" s="270">
        <f t="shared" si="47"/>
        <v>3.6573938975318424E-2</v>
      </c>
      <c r="CS25" s="270">
        <f t="shared" si="48"/>
        <v>3.6135536906741851E-2</v>
      </c>
      <c r="CT25" s="265">
        <f t="shared" si="49"/>
        <v>234.46791420118342</v>
      </c>
      <c r="CU25" s="269">
        <f t="shared" si="50"/>
        <v>0.88603481292801956</v>
      </c>
      <c r="CV25" s="267">
        <f t="shared" si="51"/>
        <v>0.74642068807895923</v>
      </c>
      <c r="CW25" s="267">
        <f t="shared" si="52"/>
        <v>0.73747354202769588</v>
      </c>
      <c r="CX25" s="268">
        <f t="shared" si="53"/>
        <v>4785.1477514792896</v>
      </c>
      <c r="CY25" s="264">
        <f t="shared" si="54"/>
        <v>3.1550138582707506E-2</v>
      </c>
      <c r="CZ25" s="270">
        <f t="shared" si="55"/>
        <v>2.6260133476204834E-2</v>
      </c>
      <c r="DA25" s="265">
        <f t="shared" si="56"/>
        <v>170.39068047337278</v>
      </c>
      <c r="DB25" s="269">
        <f t="shared" si="57"/>
        <v>2.7118174111596736E-3</v>
      </c>
      <c r="DC25" s="268">
        <f t="shared" si="58"/>
        <v>17.595813609467456</v>
      </c>
      <c r="DD25" s="264">
        <f t="shared" si="59"/>
        <v>1.6147209623927763E-2</v>
      </c>
      <c r="DE25" s="270">
        <f t="shared" si="60"/>
        <v>1.3439810379311936E-2</v>
      </c>
      <c r="DF25" s="265">
        <f t="shared" si="61"/>
        <v>87.205133136094673</v>
      </c>
      <c r="DG25" s="269">
        <f t="shared" si="62"/>
        <v>5.4825631606812862E-3</v>
      </c>
      <c r="DH25" s="267">
        <f t="shared" si="63"/>
        <v>4.5633029475859394E-3</v>
      </c>
      <c r="DI25" s="272">
        <f t="shared" si="64"/>
        <v>29.609304733727811</v>
      </c>
      <c r="DJ25" s="264">
        <f t="shared" si="65"/>
        <v>2.4894328944482159E-2</v>
      </c>
      <c r="DK25" s="270">
        <f t="shared" si="66"/>
        <v>2.0971684034173356E-2</v>
      </c>
      <c r="DL25" s="270">
        <f t="shared" si="67"/>
        <v>2.0720302041429276E-2</v>
      </c>
      <c r="DM25" s="265">
        <f t="shared" si="68"/>
        <v>134.44510355029587</v>
      </c>
      <c r="DN25" s="269">
        <f t="shared" si="69"/>
        <v>1.5459365485640491E-2</v>
      </c>
      <c r="DO25" s="267">
        <f t="shared" si="70"/>
        <v>1.2867296923153963E-2</v>
      </c>
      <c r="DP25" s="268">
        <f t="shared" si="71"/>
        <v>83.490340236686393</v>
      </c>
      <c r="DQ25" s="264">
        <f t="shared" si="72"/>
        <v>6.4679426188214387E-2</v>
      </c>
      <c r="DR25" s="270">
        <f t="shared" si="73"/>
        <v>5.3834640390384318E-2</v>
      </c>
      <c r="DS25" s="265">
        <f t="shared" si="74"/>
        <v>349.30976331360944</v>
      </c>
      <c r="DT25" s="269">
        <f t="shared" si="75"/>
        <v>3.7415243095535483E-2</v>
      </c>
      <c r="DU25" s="268">
        <f t="shared" si="76"/>
        <v>242.77137573964498</v>
      </c>
      <c r="DV25" s="264">
        <f t="shared" si="2"/>
        <v>8.1781080425134111E-3</v>
      </c>
      <c r="DW25" s="265">
        <f t="shared" si="3"/>
        <v>53.064215976331369</v>
      </c>
      <c r="DX25" s="264">
        <f t="shared" si="77"/>
        <v>5.6699480975416342E-5</v>
      </c>
      <c r="DY25" s="270">
        <f t="shared" si="78"/>
        <v>4.7765240130387845E-5</v>
      </c>
      <c r="DZ25" s="270">
        <f t="shared" si="79"/>
        <v>4.7192690914582834E-5</v>
      </c>
      <c r="EA25" s="265">
        <f t="shared" si="80"/>
        <v>0.3062130177514793</v>
      </c>
      <c r="EB25" s="273">
        <f>IFERROR(VLOOKUP(A25,'BARNET SCHS PUPIL PREMIUM Nos'!$E$31:$V$117,17,0),0)</f>
        <v>207</v>
      </c>
      <c r="EC25" s="258">
        <f>IFERROR(VLOOKUP(A25,CFR20212022_BenchMarkDataReport!$B$4:$CL$90,36,0),0)</f>
        <v>0</v>
      </c>
      <c r="ED25" s="258">
        <f>IFERROR(VLOOKUP(A25,CFR20212022_BenchMarkDataReport!$B$4:$CL$90,37,0),0)</f>
        <v>1200</v>
      </c>
      <c r="EE25" s="258">
        <f>IFERROR(VLOOKUP(A25,CFR20212022_BenchMarkDataReport!$B$4:$CL$90,38,0),0)</f>
        <v>50791</v>
      </c>
      <c r="EF25" s="258">
        <f>IFERROR(VLOOKUP(A25,CFR20212022_BenchMarkDataReport!$B$4:$CL$90,39,0),0)</f>
        <v>98350.17</v>
      </c>
      <c r="EG25" s="227"/>
    </row>
    <row r="26" spans="1:137" s="5" customFormat="1">
      <c r="A26" s="293">
        <v>2015</v>
      </c>
      <c r="B26" s="294">
        <v>10055</v>
      </c>
      <c r="C26" s="293" t="s">
        <v>49</v>
      </c>
      <c r="D26" s="258">
        <f>IFERROR(VLOOKUP(A26,CFR20212022_BenchMarkDataReport!$B$4:$CL$90,19,0),0)</f>
        <v>1405782.64</v>
      </c>
      <c r="E26" s="258">
        <f>IFERROR(VLOOKUP(A26,CFR20212022_BenchMarkDataReport!$B$4:$CL$90,20,0),0)</f>
        <v>0</v>
      </c>
      <c r="F26" s="258">
        <f>IFERROR(VLOOKUP(A26,CFR20212022_BenchMarkDataReport!$B$4:$CL$90,21,0),0)</f>
        <v>312905.7</v>
      </c>
      <c r="G26" s="258">
        <f>IFERROR(VLOOKUP(A26,CFR20212022_BenchMarkDataReport!$B$4:$CL$90,22,0),0)</f>
        <v>0</v>
      </c>
      <c r="H26" s="258">
        <f>IFERROR(VLOOKUP(A26,CFR20212022_BenchMarkDataReport!$B$4:$CL$90,23,0),0)</f>
        <v>100530.06</v>
      </c>
      <c r="I26" s="258">
        <f>IFERROR(VLOOKUP(A26,CFR20212022_BenchMarkDataReport!$B$4:$CL$90,24,0),0)</f>
        <v>0</v>
      </c>
      <c r="J26" s="258">
        <f>IFERROR(VLOOKUP(A26,CFR20212022_BenchMarkDataReport!$B$4:$CL$90,25,0),0)</f>
        <v>974</v>
      </c>
      <c r="K26" s="258">
        <f>IFERROR(VLOOKUP(A26,CFR20212022_BenchMarkDataReport!$B$4:$CL$90,26,0),0)</f>
        <v>24590.880000000001</v>
      </c>
      <c r="L26" s="258">
        <f>IFERROR(VLOOKUP(A26,CFR20212022_BenchMarkDataReport!$B$4:$CL$90,27,0),0)</f>
        <v>7536.4</v>
      </c>
      <c r="M26" s="258">
        <f>IFERROR(VLOOKUP(A26,CFR20212022_BenchMarkDataReport!$B$4:$CL$90,28,0),0)</f>
        <v>16942.07</v>
      </c>
      <c r="N26" s="258">
        <f>IFERROR(VLOOKUP(A26,CFR20212022_BenchMarkDataReport!$B$4:$CL$90,29,0),0)</f>
        <v>3872</v>
      </c>
      <c r="O26" s="258">
        <f>IFERROR(VLOOKUP(A26,CFR20212022_BenchMarkDataReport!$B$4:$CL$90,30,0),0)</f>
        <v>6072</v>
      </c>
      <c r="P26" s="258">
        <f>IFERROR(VLOOKUP(A26,CFR20212022_BenchMarkDataReport!$B$4:$CL$90,31,0),0)</f>
        <v>17300.98</v>
      </c>
      <c r="Q26" s="258">
        <f>IFERROR(VLOOKUP(A26,CFR20212022_BenchMarkDataReport!$B$4:$CL$90,32,0),0)</f>
        <v>6811.3</v>
      </c>
      <c r="R26" s="258">
        <f>IFERROR(VLOOKUP(A26,CFR20212022_BenchMarkDataReport!$B$4:$CL$90,33,0),0)</f>
        <v>0</v>
      </c>
      <c r="S26" s="258">
        <f>IFERROR(VLOOKUP(A26,CFR20212022_BenchMarkDataReport!$B$4:$CL$90,34,0),0)</f>
        <v>197079</v>
      </c>
      <c r="T26" s="258">
        <f>IFERROR(VLOOKUP(A26,CFR20212022_BenchMarkDataReport!$B$4:$CL$90,35,0),0)</f>
        <v>-12805.47</v>
      </c>
      <c r="U26" s="258">
        <f t="shared" si="0"/>
        <v>61873.95</v>
      </c>
      <c r="V26" s="258">
        <f>IFERROR(VLOOKUP(A26,CFR20212022_BenchMarkDataReport!$B$4:$CL$90,40,0),0)</f>
        <v>792840.78</v>
      </c>
      <c r="W26" s="258">
        <f>IFERROR(VLOOKUP(A26,CFR20212022_BenchMarkDataReport!$B$4:$CL$90,41,0),0)</f>
        <v>0</v>
      </c>
      <c r="X26" s="258">
        <f>IFERROR(VLOOKUP(A26,CFR20212022_BenchMarkDataReport!$B$4:$CL$90,42,0),0)</f>
        <v>494228.47999999998</v>
      </c>
      <c r="Y26" s="258">
        <f>IFERROR(VLOOKUP(A26,CFR20212022_BenchMarkDataReport!$B$4:$CL$90,43,0),0)</f>
        <v>35673.120000000003</v>
      </c>
      <c r="Z26" s="258">
        <f>IFERROR(VLOOKUP(A26,CFR20212022_BenchMarkDataReport!$B$4:$CL$90,44,0),0)</f>
        <v>99349.71</v>
      </c>
      <c r="AA26" s="258">
        <f>IFERROR(VLOOKUP(A26,CFR20212022_BenchMarkDataReport!$B$4:$CL$90,45,0),0)</f>
        <v>36270.53</v>
      </c>
      <c r="AB26" s="258">
        <f>IFERROR(VLOOKUP(A26,CFR20212022_BenchMarkDataReport!$B$4:$CL$90,46,0),0)</f>
        <v>8915.1299999999992</v>
      </c>
      <c r="AC26" s="258">
        <f>IFERROR(VLOOKUP(A26,CFR20212022_BenchMarkDataReport!$B$4:$CL$90,47,0),0)</f>
        <v>35812.35</v>
      </c>
      <c r="AD26" s="258">
        <f>IFERROR(VLOOKUP(A26,CFR20212022_BenchMarkDataReport!$B$4:$CL$90,48,0),0)</f>
        <v>10159.459999999999</v>
      </c>
      <c r="AE26" s="258">
        <f>IFERROR(VLOOKUP(A26,CFR20212022_BenchMarkDataReport!$B$4:$CL$90,49,0),0)</f>
        <v>10768.25</v>
      </c>
      <c r="AF26" s="258">
        <f>IFERROR(VLOOKUP(A26,CFR20212022_BenchMarkDataReport!$B$4:$CL$90,50,0),0)</f>
        <v>0</v>
      </c>
      <c r="AG26" s="258">
        <f>IFERROR(VLOOKUP(A26,CFR20212022_BenchMarkDataReport!$B$4:$CL$90,51,0),0)</f>
        <v>34697.5</v>
      </c>
      <c r="AH26" s="258">
        <f>IFERROR(VLOOKUP(A26,CFR20212022_BenchMarkDataReport!$B$4:$CL$90,52,0),0)</f>
        <v>7105.08</v>
      </c>
      <c r="AI26" s="258">
        <f>IFERROR(VLOOKUP(A26,CFR20212022_BenchMarkDataReport!$B$4:$CL$90,53,0),0)</f>
        <v>27541.759999999998</v>
      </c>
      <c r="AJ26" s="258">
        <f>IFERROR(VLOOKUP(A26,CFR20212022_BenchMarkDataReport!$B$4:$CL$90,54,0),0)</f>
        <v>4687.7</v>
      </c>
      <c r="AK26" s="258">
        <f>IFERROR(VLOOKUP(A26,CFR20212022_BenchMarkDataReport!$B$4:$CL$90,55,0),0)</f>
        <v>18315.400000000001</v>
      </c>
      <c r="AL26" s="258">
        <f>IFERROR(VLOOKUP(A26,CFR20212022_BenchMarkDataReport!$B$4:$CL$90,56,0),0)</f>
        <v>38570</v>
      </c>
      <c r="AM26" s="258">
        <f>IFERROR(VLOOKUP(A26,CFR20212022_BenchMarkDataReport!$B$4:$CL$90,57,0),0)</f>
        <v>8817.2800000000007</v>
      </c>
      <c r="AN26" s="258">
        <f>IFERROR(VLOOKUP(A26,CFR20212022_BenchMarkDataReport!$B$4:$CL$90,58,0),0)</f>
        <v>94758.46</v>
      </c>
      <c r="AO26" s="258">
        <f>IFERROR(VLOOKUP(A26,CFR20212022_BenchMarkDataReport!$B$4:$CL$90,59,0),0)</f>
        <v>27453</v>
      </c>
      <c r="AP26" s="258">
        <f>IFERROR(VLOOKUP(A26,CFR20212022_BenchMarkDataReport!$B$4:$CL$90,60,0),0)</f>
        <v>0</v>
      </c>
      <c r="AQ26" s="258">
        <f>IFERROR(VLOOKUP(A26,CFR20212022_BenchMarkDataReport!$B$4:$CL$90,61,0),0)</f>
        <v>19548.7</v>
      </c>
      <c r="AR26" s="258">
        <f>IFERROR(VLOOKUP(A26,CFR20212022_BenchMarkDataReport!$B$4:$CL$90,62,0),0)</f>
        <v>6593.7</v>
      </c>
      <c r="AS26" s="258">
        <f>IFERROR(VLOOKUP(A26,CFR20212022_BenchMarkDataReport!$B$4:$CL$90,63,0),0)</f>
        <v>754.49</v>
      </c>
      <c r="AT26" s="258">
        <f>IFERROR(VLOOKUP(A26,CFR20212022_BenchMarkDataReport!$B$4:$CL$90,64,0),0)</f>
        <v>50972.76</v>
      </c>
      <c r="AU26" s="258">
        <f>IFERROR(VLOOKUP(A26,CFR20212022_BenchMarkDataReport!$B$4:$CL$90,65,0),0)</f>
        <v>103084.5</v>
      </c>
      <c r="AV26" s="258">
        <f>IFERROR(VLOOKUP(A26,CFR20212022_BenchMarkDataReport!$B$4:$CL$90,66,0),0)</f>
        <v>114045.43</v>
      </c>
      <c r="AW26" s="258">
        <f>IFERROR(VLOOKUP(A26,CFR20212022_BenchMarkDataReport!$B$4:$CL$90,67,0),0)</f>
        <v>31213.67</v>
      </c>
      <c r="AX26" s="258">
        <f>IFERROR(VLOOKUP(A26,CFR20212022_BenchMarkDataReport!$B$4:$CL$90,68,0),0)</f>
        <v>8438</v>
      </c>
      <c r="AY26" s="258">
        <f>IFERROR(VLOOKUP(A26,CFR20212022_BenchMarkDataReport!$B$4:$CL$90,69,0),0)</f>
        <v>0</v>
      </c>
      <c r="AZ26" s="258">
        <f>IFERROR(VLOOKUP(A26,CFR20212022_BenchMarkDataReport!$B$4:$CL$90,70,0),0)</f>
        <v>0</v>
      </c>
      <c r="BA26" s="258">
        <f>IFERROR(VLOOKUP(A26,CFR20212022_BenchMarkDataReport!$B$4:$CL$90,71,0),0)</f>
        <v>104757.58</v>
      </c>
      <c r="BB26" s="258">
        <f>IFERROR(VLOOKUP(A26,CFR20212022_BenchMarkDataReport!$B$4:$CL$90,72,0),0)</f>
        <v>50013.55</v>
      </c>
      <c r="BC26" s="259">
        <f t="shared" si="10"/>
        <v>1965191.9799999997</v>
      </c>
      <c r="BD26" s="260">
        <f t="shared" si="11"/>
        <v>2120615.2399999998</v>
      </c>
      <c r="BE26" s="296">
        <f t="shared" si="12"/>
        <v>-155423.26</v>
      </c>
      <c r="BF26" s="258">
        <f>IFERROR(VLOOKUP(A26,CFR20212022_BenchMarkDataReport!$B$4:$CL$90,16,0),0)</f>
        <v>387369.8</v>
      </c>
      <c r="BG26" s="296">
        <f t="shared" si="13"/>
        <v>231946.53999999998</v>
      </c>
      <c r="BH26" s="261">
        <f>IFERROR(VLOOKUP(A26,'Pupil Nos BenchmarkData 21-22'!$A$6:$E$94,5,0),0)</f>
        <v>238</v>
      </c>
      <c r="BI26" s="260">
        <f t="shared" si="1"/>
        <v>1718688.3399999999</v>
      </c>
      <c r="BJ26" s="227" t="s">
        <v>183</v>
      </c>
      <c r="BK26" s="262">
        <f t="shared" si="14"/>
        <v>0.71534112407684469</v>
      </c>
      <c r="BL26" s="263">
        <f t="shared" si="15"/>
        <v>5906.6497478991596</v>
      </c>
      <c r="BM26" s="264">
        <f t="shared" si="16"/>
        <v>0</v>
      </c>
      <c r="BN26" s="265">
        <f t="shared" si="17"/>
        <v>0</v>
      </c>
      <c r="BO26" s="262">
        <f t="shared" si="18"/>
        <v>0.15922398584183112</v>
      </c>
      <c r="BP26" s="263">
        <f t="shared" si="19"/>
        <v>1314.7298319327731</v>
      </c>
      <c r="BQ26" s="264">
        <f t="shared" si="20"/>
        <v>0</v>
      </c>
      <c r="BR26" s="265">
        <f t="shared" si="21"/>
        <v>0</v>
      </c>
      <c r="BS26" s="262">
        <f t="shared" si="22"/>
        <v>5.1155338014355227E-2</v>
      </c>
      <c r="BT26" s="263">
        <f t="shared" si="23"/>
        <v>422.39521008403358</v>
      </c>
      <c r="BU26" s="264">
        <f t="shared" si="24"/>
        <v>0</v>
      </c>
      <c r="BV26" s="265">
        <f t="shared" si="25"/>
        <v>0</v>
      </c>
      <c r="BW26" s="262">
        <f t="shared" si="26"/>
        <v>4.9562587773231204E-4</v>
      </c>
      <c r="BX26" s="263">
        <f t="shared" si="27"/>
        <v>4.0924369747899156</v>
      </c>
      <c r="BY26" s="264">
        <f t="shared" si="28"/>
        <v>1.6348163602825209E-2</v>
      </c>
      <c r="BZ26" s="266">
        <f t="shared" si="29"/>
        <v>134.98857142857142</v>
      </c>
      <c r="CA26" s="267">
        <f t="shared" si="30"/>
        <v>8.8037098543420692E-3</v>
      </c>
      <c r="CB26" s="268">
        <f t="shared" si="31"/>
        <v>72.693193277310925</v>
      </c>
      <c r="CC26" s="264">
        <f t="shared" si="32"/>
        <v>3.4659718080062595E-3</v>
      </c>
      <c r="CD26" s="265">
        <f t="shared" si="33"/>
        <v>28.618907563025211</v>
      </c>
      <c r="CE26" s="269">
        <f t="shared" si="34"/>
        <v>0.52128431848208157</v>
      </c>
      <c r="CF26" s="267">
        <f t="shared" si="35"/>
        <v>0.45589707729216367</v>
      </c>
      <c r="CG26" s="267">
        <f t="shared" si="36"/>
        <v>0.42248365620535677</v>
      </c>
      <c r="CH26" s="268">
        <f t="shared" si="37"/>
        <v>3764.3919327731091</v>
      </c>
      <c r="CI26" s="264">
        <f t="shared" si="38"/>
        <v>0.28756143187659028</v>
      </c>
      <c r="CJ26" s="270">
        <f t="shared" si="39"/>
        <v>0.25149119527752195</v>
      </c>
      <c r="CK26" s="270">
        <f t="shared" si="40"/>
        <v>0.23305900602694907</v>
      </c>
      <c r="CL26" s="271">
        <f t="shared" si="41"/>
        <v>2076.5902521008402</v>
      </c>
      <c r="CM26" s="269">
        <f t="shared" si="42"/>
        <v>2.0756014438312886E-2</v>
      </c>
      <c r="CN26" s="267">
        <f t="shared" si="43"/>
        <v>1.8152486048716731E-2</v>
      </c>
      <c r="CO26" s="267">
        <f t="shared" si="44"/>
        <v>1.6822061507018128E-2</v>
      </c>
      <c r="CP26" s="268">
        <f t="shared" si="45"/>
        <v>149.88705882352943</v>
      </c>
      <c r="CQ26" s="264">
        <f t="shared" si="46"/>
        <v>5.7805541404906499E-2</v>
      </c>
      <c r="CR26" s="270">
        <f t="shared" si="47"/>
        <v>5.0554709672690615E-2</v>
      </c>
      <c r="CS26" s="270">
        <f t="shared" si="48"/>
        <v>4.6849474683582873E-2</v>
      </c>
      <c r="CT26" s="265">
        <f t="shared" si="49"/>
        <v>417.43575630252104</v>
      </c>
      <c r="CU26" s="269">
        <f t="shared" si="50"/>
        <v>0.85371949983671858</v>
      </c>
      <c r="CV26" s="267">
        <f t="shared" si="51"/>
        <v>0.74663328821441666</v>
      </c>
      <c r="CW26" s="267">
        <f t="shared" si="52"/>
        <v>0.69191134833115708</v>
      </c>
      <c r="CX26" s="268">
        <f t="shared" si="53"/>
        <v>6165.03256302521</v>
      </c>
      <c r="CY26" s="264">
        <f t="shared" si="54"/>
        <v>2.0188360619238274E-2</v>
      </c>
      <c r="CZ26" s="270">
        <f t="shared" si="55"/>
        <v>1.6361996908029391E-2</v>
      </c>
      <c r="DA26" s="265">
        <f t="shared" si="56"/>
        <v>145.78781512605042</v>
      </c>
      <c r="DB26" s="269">
        <f t="shared" si="57"/>
        <v>2.2105377305503097E-3</v>
      </c>
      <c r="DC26" s="268">
        <f t="shared" si="58"/>
        <v>19.696218487394958</v>
      </c>
      <c r="DD26" s="264">
        <f t="shared" si="59"/>
        <v>1.0656615032368233E-2</v>
      </c>
      <c r="DE26" s="270">
        <f t="shared" si="60"/>
        <v>8.6368331484781759E-3</v>
      </c>
      <c r="DF26" s="265">
        <f t="shared" si="61"/>
        <v>76.955462184873952</v>
      </c>
      <c r="DG26" s="269">
        <f t="shared" si="62"/>
        <v>5.1302378649988409E-3</v>
      </c>
      <c r="DH26" s="267">
        <f t="shared" si="63"/>
        <v>4.1578876892349416E-3</v>
      </c>
      <c r="DI26" s="272">
        <f t="shared" si="64"/>
        <v>37.047394957983194</v>
      </c>
      <c r="DJ26" s="264">
        <f t="shared" si="65"/>
        <v>5.5134172842529444E-2</v>
      </c>
      <c r="DK26" s="270">
        <f t="shared" si="66"/>
        <v>4.8218423932302031E-2</v>
      </c>
      <c r="DL26" s="270">
        <f t="shared" si="67"/>
        <v>4.4684419036807456E-2</v>
      </c>
      <c r="DM26" s="265">
        <f t="shared" si="68"/>
        <v>398.14478991596644</v>
      </c>
      <c r="DN26" s="269">
        <f t="shared" si="69"/>
        <v>1.1374197139197443E-2</v>
      </c>
      <c r="DO26" s="267">
        <f t="shared" si="70"/>
        <v>9.2184096536059995E-3</v>
      </c>
      <c r="DP26" s="268">
        <f t="shared" si="71"/>
        <v>82.13739495798319</v>
      </c>
      <c r="DQ26" s="264">
        <f t="shared" si="72"/>
        <v>6.6356085245798557E-2</v>
      </c>
      <c r="DR26" s="270">
        <f t="shared" si="73"/>
        <v>5.3779406961160951E-2</v>
      </c>
      <c r="DS26" s="265">
        <f t="shared" si="74"/>
        <v>479.18247899159661</v>
      </c>
      <c r="DT26" s="269">
        <f t="shared" si="75"/>
        <v>2.4036779062287607E-2</v>
      </c>
      <c r="DU26" s="268">
        <f t="shared" si="76"/>
        <v>214.17126050420168</v>
      </c>
      <c r="DV26" s="264">
        <f t="shared" si="2"/>
        <v>1.2987627119005333E-2</v>
      </c>
      <c r="DW26" s="265">
        <f t="shared" si="3"/>
        <v>115.7216806722689</v>
      </c>
      <c r="DX26" s="264">
        <f t="shared" si="77"/>
        <v>4.2474251032621773E-5</v>
      </c>
      <c r="DY26" s="270">
        <f t="shared" si="78"/>
        <v>3.7146498023058292E-5</v>
      </c>
      <c r="DZ26" s="270">
        <f t="shared" si="79"/>
        <v>3.4423972167624342E-5</v>
      </c>
      <c r="EA26" s="265">
        <f t="shared" si="80"/>
        <v>0.30672268907563027</v>
      </c>
      <c r="EB26" s="273">
        <f>IFERROR(VLOOKUP(A26,'BARNET SCHS PUPIL PREMIUM Nos'!$E$31:$V$117,17,0),0)</f>
        <v>73</v>
      </c>
      <c r="EC26" s="258">
        <f>IFERROR(VLOOKUP(A26,CFR20212022_BenchMarkDataReport!$B$4:$CL$90,36,0),0)</f>
        <v>0</v>
      </c>
      <c r="ED26" s="258">
        <f>IFERROR(VLOOKUP(A26,CFR20212022_BenchMarkDataReport!$B$4:$CL$90,37,0),0)</f>
        <v>0</v>
      </c>
      <c r="EE26" s="258">
        <f>IFERROR(VLOOKUP(A26,CFR20212022_BenchMarkDataReport!$B$4:$CL$90,38,0),0)</f>
        <v>0</v>
      </c>
      <c r="EF26" s="258">
        <f>IFERROR(VLOOKUP(A26,CFR20212022_BenchMarkDataReport!$B$4:$CL$90,39,0),0)</f>
        <v>61873.95</v>
      </c>
      <c r="EG26" s="227"/>
    </row>
    <row r="27" spans="1:137" s="5" customFormat="1">
      <c r="A27" s="293">
        <v>2016</v>
      </c>
      <c r="B27" s="294">
        <v>10056</v>
      </c>
      <c r="C27" s="293" t="s">
        <v>50</v>
      </c>
      <c r="D27" s="258">
        <f>IFERROR(VLOOKUP(A27,CFR20212022_BenchMarkDataReport!$B$4:$CL$90,19,0),0)</f>
        <v>1003027</v>
      </c>
      <c r="E27" s="258">
        <f>IFERROR(VLOOKUP(A27,CFR20212022_BenchMarkDataReport!$B$4:$CL$90,20,0),0)</f>
        <v>0</v>
      </c>
      <c r="F27" s="258">
        <f>IFERROR(VLOOKUP(A27,CFR20212022_BenchMarkDataReport!$B$4:$CL$90,21,0),0)</f>
        <v>54181</v>
      </c>
      <c r="G27" s="258">
        <f>IFERROR(VLOOKUP(A27,CFR20212022_BenchMarkDataReport!$B$4:$CL$90,22,0),0)</f>
        <v>0</v>
      </c>
      <c r="H27" s="258">
        <f>IFERROR(VLOOKUP(A27,CFR20212022_BenchMarkDataReport!$B$4:$CL$90,23,0),0)</f>
        <v>33869</v>
      </c>
      <c r="I27" s="258">
        <f>IFERROR(VLOOKUP(A27,CFR20212022_BenchMarkDataReport!$B$4:$CL$90,24,0),0)</f>
        <v>7500</v>
      </c>
      <c r="J27" s="258">
        <f>IFERROR(VLOOKUP(A27,CFR20212022_BenchMarkDataReport!$B$4:$CL$90,25,0),0)</f>
        <v>223</v>
      </c>
      <c r="K27" s="258">
        <f>IFERROR(VLOOKUP(A27,CFR20212022_BenchMarkDataReport!$B$4:$CL$90,26,0),0)</f>
        <v>1090</v>
      </c>
      <c r="L27" s="258">
        <f>IFERROR(VLOOKUP(A27,CFR20212022_BenchMarkDataReport!$B$4:$CL$90,27,0),0)</f>
        <v>1696.3</v>
      </c>
      <c r="M27" s="258">
        <f>IFERROR(VLOOKUP(A27,CFR20212022_BenchMarkDataReport!$B$4:$CL$90,28,0),0)</f>
        <v>10481.4</v>
      </c>
      <c r="N27" s="258">
        <f>IFERROR(VLOOKUP(A27,CFR20212022_BenchMarkDataReport!$B$4:$CL$90,29,0),0)</f>
        <v>0</v>
      </c>
      <c r="O27" s="258">
        <f>IFERROR(VLOOKUP(A27,CFR20212022_BenchMarkDataReport!$B$4:$CL$90,30,0),0)</f>
        <v>0</v>
      </c>
      <c r="P27" s="258">
        <f>IFERROR(VLOOKUP(A27,CFR20212022_BenchMarkDataReport!$B$4:$CL$90,31,0),0)</f>
        <v>20852.05</v>
      </c>
      <c r="Q27" s="258">
        <f>IFERROR(VLOOKUP(A27,CFR20212022_BenchMarkDataReport!$B$4:$CL$90,32,0),0)</f>
        <v>13500.73</v>
      </c>
      <c r="R27" s="258">
        <f>IFERROR(VLOOKUP(A27,CFR20212022_BenchMarkDataReport!$B$4:$CL$90,33,0),0)</f>
        <v>0</v>
      </c>
      <c r="S27" s="258">
        <f>IFERROR(VLOOKUP(A27,CFR20212022_BenchMarkDataReport!$B$4:$CL$90,34,0),0)</f>
        <v>0</v>
      </c>
      <c r="T27" s="258">
        <f>IFERROR(VLOOKUP(A27,CFR20212022_BenchMarkDataReport!$B$4:$CL$90,35,0),0)</f>
        <v>0</v>
      </c>
      <c r="U27" s="258">
        <f t="shared" si="0"/>
        <v>61991.520000000004</v>
      </c>
      <c r="V27" s="258">
        <f>IFERROR(VLOOKUP(A27,CFR20212022_BenchMarkDataReport!$B$4:$CL$90,40,0),0)</f>
        <v>559684.68999999994</v>
      </c>
      <c r="W27" s="258">
        <f>IFERROR(VLOOKUP(A27,CFR20212022_BenchMarkDataReport!$B$4:$CL$90,41,0),0)</f>
        <v>6989</v>
      </c>
      <c r="X27" s="258">
        <f>IFERROR(VLOOKUP(A27,CFR20212022_BenchMarkDataReport!$B$4:$CL$90,42,0),0)</f>
        <v>210894.1</v>
      </c>
      <c r="Y27" s="258">
        <f>IFERROR(VLOOKUP(A27,CFR20212022_BenchMarkDataReport!$B$4:$CL$90,43,0),0)</f>
        <v>34025.79</v>
      </c>
      <c r="Z27" s="258">
        <f>IFERROR(VLOOKUP(A27,CFR20212022_BenchMarkDataReport!$B$4:$CL$90,44,0),0)</f>
        <v>62212.07</v>
      </c>
      <c r="AA27" s="258">
        <f>IFERROR(VLOOKUP(A27,CFR20212022_BenchMarkDataReport!$B$4:$CL$90,45,0),0)</f>
        <v>0</v>
      </c>
      <c r="AB27" s="258">
        <f>IFERROR(VLOOKUP(A27,CFR20212022_BenchMarkDataReport!$B$4:$CL$90,46,0),0)</f>
        <v>16994.68</v>
      </c>
      <c r="AC27" s="258">
        <f>IFERROR(VLOOKUP(A27,CFR20212022_BenchMarkDataReport!$B$4:$CL$90,47,0),0)</f>
        <v>5737.18</v>
      </c>
      <c r="AD27" s="258">
        <f>IFERROR(VLOOKUP(A27,CFR20212022_BenchMarkDataReport!$B$4:$CL$90,48,0),0)</f>
        <v>950</v>
      </c>
      <c r="AE27" s="258">
        <f>IFERROR(VLOOKUP(A27,CFR20212022_BenchMarkDataReport!$B$4:$CL$90,49,0),0)</f>
        <v>344.4</v>
      </c>
      <c r="AF27" s="258">
        <f>IFERROR(VLOOKUP(A27,CFR20212022_BenchMarkDataReport!$B$4:$CL$90,50,0),0)</f>
        <v>0</v>
      </c>
      <c r="AG27" s="258">
        <f>IFERROR(VLOOKUP(A27,CFR20212022_BenchMarkDataReport!$B$4:$CL$90,51,0),0)</f>
        <v>16095.56</v>
      </c>
      <c r="AH27" s="258">
        <f>IFERROR(VLOOKUP(A27,CFR20212022_BenchMarkDataReport!$B$4:$CL$90,52,0),0)</f>
        <v>5811.75</v>
      </c>
      <c r="AI27" s="258">
        <f>IFERROR(VLOOKUP(A27,CFR20212022_BenchMarkDataReport!$B$4:$CL$90,53,0),0)</f>
        <v>19779.2</v>
      </c>
      <c r="AJ27" s="258">
        <f>IFERROR(VLOOKUP(A27,CFR20212022_BenchMarkDataReport!$B$4:$CL$90,54,0),0)</f>
        <v>1895.39</v>
      </c>
      <c r="AK27" s="258">
        <f>IFERROR(VLOOKUP(A27,CFR20212022_BenchMarkDataReport!$B$4:$CL$90,55,0),0)</f>
        <v>12566</v>
      </c>
      <c r="AL27" s="258">
        <f>IFERROR(VLOOKUP(A27,CFR20212022_BenchMarkDataReport!$B$4:$CL$90,56,0),0)</f>
        <v>21565</v>
      </c>
      <c r="AM27" s="258">
        <f>IFERROR(VLOOKUP(A27,CFR20212022_BenchMarkDataReport!$B$4:$CL$90,57,0),0)</f>
        <v>6137.17</v>
      </c>
      <c r="AN27" s="258">
        <f>IFERROR(VLOOKUP(A27,CFR20212022_BenchMarkDataReport!$B$4:$CL$90,58,0),0)</f>
        <v>50828.22</v>
      </c>
      <c r="AO27" s="258">
        <f>IFERROR(VLOOKUP(A27,CFR20212022_BenchMarkDataReport!$B$4:$CL$90,59,0),0)</f>
        <v>7158.62</v>
      </c>
      <c r="AP27" s="258">
        <f>IFERROR(VLOOKUP(A27,CFR20212022_BenchMarkDataReport!$B$4:$CL$90,60,0),0)</f>
        <v>0</v>
      </c>
      <c r="AQ27" s="258">
        <f>IFERROR(VLOOKUP(A27,CFR20212022_BenchMarkDataReport!$B$4:$CL$90,61,0),0)</f>
        <v>8990.11</v>
      </c>
      <c r="AR27" s="258">
        <f>IFERROR(VLOOKUP(A27,CFR20212022_BenchMarkDataReport!$B$4:$CL$90,62,0),0)</f>
        <v>5833.7</v>
      </c>
      <c r="AS27" s="258">
        <f>IFERROR(VLOOKUP(A27,CFR20212022_BenchMarkDataReport!$B$4:$CL$90,63,0),0)</f>
        <v>1200</v>
      </c>
      <c r="AT27" s="258">
        <f>IFERROR(VLOOKUP(A27,CFR20212022_BenchMarkDataReport!$B$4:$CL$90,64,0),0)</f>
        <v>47318.91</v>
      </c>
      <c r="AU27" s="258">
        <f>IFERROR(VLOOKUP(A27,CFR20212022_BenchMarkDataReport!$B$4:$CL$90,65,0),0)</f>
        <v>5794.88</v>
      </c>
      <c r="AV27" s="258">
        <f>IFERROR(VLOOKUP(A27,CFR20212022_BenchMarkDataReport!$B$4:$CL$90,66,0),0)</f>
        <v>84507.78</v>
      </c>
      <c r="AW27" s="258">
        <f>IFERROR(VLOOKUP(A27,CFR20212022_BenchMarkDataReport!$B$4:$CL$90,67,0),0)</f>
        <v>19747.82</v>
      </c>
      <c r="AX27" s="258">
        <f>IFERROR(VLOOKUP(A27,CFR20212022_BenchMarkDataReport!$B$4:$CL$90,68,0),0)</f>
        <v>0</v>
      </c>
      <c r="AY27" s="258">
        <f>IFERROR(VLOOKUP(A27,CFR20212022_BenchMarkDataReport!$B$4:$CL$90,69,0),0)</f>
        <v>0</v>
      </c>
      <c r="AZ27" s="258">
        <f>IFERROR(VLOOKUP(A27,CFR20212022_BenchMarkDataReport!$B$4:$CL$90,70,0),0)</f>
        <v>0</v>
      </c>
      <c r="BA27" s="258">
        <f>IFERROR(VLOOKUP(A27,CFR20212022_BenchMarkDataReport!$B$4:$CL$90,71,0),0)</f>
        <v>0</v>
      </c>
      <c r="BB27" s="258">
        <f>IFERROR(VLOOKUP(A27,CFR20212022_BenchMarkDataReport!$B$4:$CL$90,72,0),0)</f>
        <v>0</v>
      </c>
      <c r="BC27" s="259">
        <f t="shared" si="10"/>
        <v>1208412</v>
      </c>
      <c r="BD27" s="260">
        <f t="shared" si="11"/>
        <v>1213062.02</v>
      </c>
      <c r="BE27" s="296">
        <f t="shared" si="12"/>
        <v>-4650.0200000000186</v>
      </c>
      <c r="BF27" s="258">
        <f>IFERROR(VLOOKUP(A27,CFR20212022_BenchMarkDataReport!$B$4:$CL$90,16,0),0)</f>
        <v>112398.44</v>
      </c>
      <c r="BG27" s="296">
        <f t="shared" si="13"/>
        <v>107748.41999999998</v>
      </c>
      <c r="BH27" s="261">
        <f>IFERROR(VLOOKUP(A27,'Pupil Nos BenchmarkData 21-22'!$A$6:$E$94,5,0),0)</f>
        <v>196.5</v>
      </c>
      <c r="BI27" s="260">
        <f t="shared" si="1"/>
        <v>1057208</v>
      </c>
      <c r="BJ27" s="227" t="s">
        <v>183</v>
      </c>
      <c r="BK27" s="262">
        <f t="shared" si="14"/>
        <v>0.83003727205621924</v>
      </c>
      <c r="BL27" s="263">
        <f t="shared" si="15"/>
        <v>5104.4631043256995</v>
      </c>
      <c r="BM27" s="264">
        <f t="shared" si="16"/>
        <v>0</v>
      </c>
      <c r="BN27" s="265">
        <f t="shared" si="17"/>
        <v>0</v>
      </c>
      <c r="BO27" s="262">
        <f t="shared" si="18"/>
        <v>4.483652926319831E-2</v>
      </c>
      <c r="BP27" s="263">
        <f t="shared" si="19"/>
        <v>275.73027989821884</v>
      </c>
      <c r="BQ27" s="264">
        <f t="shared" si="20"/>
        <v>0</v>
      </c>
      <c r="BR27" s="265">
        <f t="shared" si="21"/>
        <v>0</v>
      </c>
      <c r="BS27" s="262">
        <f t="shared" si="22"/>
        <v>2.8027692541947615E-2</v>
      </c>
      <c r="BT27" s="263">
        <f t="shared" si="23"/>
        <v>172.3613231552163</v>
      </c>
      <c r="BU27" s="264">
        <f t="shared" si="24"/>
        <v>6.2064924876614929E-3</v>
      </c>
      <c r="BV27" s="265">
        <f t="shared" si="25"/>
        <v>38.167938931297712</v>
      </c>
      <c r="BW27" s="262">
        <f t="shared" si="26"/>
        <v>1.8453970996646838E-4</v>
      </c>
      <c r="BX27" s="263">
        <f t="shared" si="27"/>
        <v>1.1348600508905853</v>
      </c>
      <c r="BY27" s="264">
        <f t="shared" si="28"/>
        <v>2.3057533357828293E-3</v>
      </c>
      <c r="BZ27" s="266">
        <f t="shared" si="29"/>
        <v>14.179643765903309</v>
      </c>
      <c r="CA27" s="267">
        <f t="shared" si="30"/>
        <v>1.725574555697891E-2</v>
      </c>
      <c r="CB27" s="268">
        <f t="shared" si="31"/>
        <v>106.11730279898218</v>
      </c>
      <c r="CC27" s="264">
        <f t="shared" si="32"/>
        <v>1.1172290576392819E-2</v>
      </c>
      <c r="CD27" s="265">
        <f t="shared" si="33"/>
        <v>68.706005089058522</v>
      </c>
      <c r="CE27" s="269">
        <f t="shared" si="34"/>
        <v>0.54149095542220638</v>
      </c>
      <c r="CF27" s="267">
        <f t="shared" si="35"/>
        <v>0.47373625055030893</v>
      </c>
      <c r="CG27" s="267">
        <f t="shared" si="36"/>
        <v>0.47192028153680049</v>
      </c>
      <c r="CH27" s="268">
        <f t="shared" si="37"/>
        <v>2913.3260559796436</v>
      </c>
      <c r="CI27" s="264">
        <f t="shared" si="38"/>
        <v>0.19948212650679906</v>
      </c>
      <c r="CJ27" s="270">
        <f t="shared" si="39"/>
        <v>0.17452168631228424</v>
      </c>
      <c r="CK27" s="270">
        <f t="shared" si="40"/>
        <v>0.17385269386308871</v>
      </c>
      <c r="CL27" s="271">
        <f t="shared" si="41"/>
        <v>1073.2524173027989</v>
      </c>
      <c r="CM27" s="269">
        <f t="shared" si="42"/>
        <v>3.2184574842415117E-2</v>
      </c>
      <c r="CN27" s="267">
        <f t="shared" si="43"/>
        <v>2.8157441336233009E-2</v>
      </c>
      <c r="CO27" s="267">
        <f t="shared" si="44"/>
        <v>2.8049505663362537E-2</v>
      </c>
      <c r="CP27" s="268">
        <f t="shared" si="45"/>
        <v>173.15923664122138</v>
      </c>
      <c r="CQ27" s="264">
        <f t="shared" si="46"/>
        <v>5.8845629242306151E-2</v>
      </c>
      <c r="CR27" s="270">
        <f t="shared" si="47"/>
        <v>5.1482499346249461E-2</v>
      </c>
      <c r="CS27" s="270">
        <f t="shared" si="48"/>
        <v>5.1285151933122101E-2</v>
      </c>
      <c r="CT27" s="265">
        <f t="shared" si="49"/>
        <v>316.60086513994912</v>
      </c>
      <c r="CU27" s="269">
        <f t="shared" si="50"/>
        <v>0.84259703861491775</v>
      </c>
      <c r="CV27" s="267">
        <f t="shared" si="51"/>
        <v>0.73716607415351709</v>
      </c>
      <c r="CW27" s="267">
        <f t="shared" si="52"/>
        <v>0.73434030190805899</v>
      </c>
      <c r="CX27" s="268">
        <f t="shared" si="53"/>
        <v>4533.3350127226458</v>
      </c>
      <c r="CY27" s="264">
        <f t="shared" si="54"/>
        <v>1.5224591565708923E-2</v>
      </c>
      <c r="CZ27" s="270">
        <f t="shared" si="55"/>
        <v>1.3268538404986086E-2</v>
      </c>
      <c r="DA27" s="265">
        <f t="shared" si="56"/>
        <v>81.911246819338416</v>
      </c>
      <c r="DB27" s="269">
        <f t="shared" si="57"/>
        <v>1.5624840022606594E-3</v>
      </c>
      <c r="DC27" s="268">
        <f t="shared" si="58"/>
        <v>9.6457506361323162</v>
      </c>
      <c r="DD27" s="264">
        <f t="shared" si="59"/>
        <v>1.1886024320663484E-2</v>
      </c>
      <c r="DE27" s="270">
        <f t="shared" si="60"/>
        <v>1.0358909761266782E-2</v>
      </c>
      <c r="DF27" s="265">
        <f t="shared" si="61"/>
        <v>63.949109414758269</v>
      </c>
      <c r="DG27" s="269">
        <f t="shared" si="62"/>
        <v>5.8050733630468174E-3</v>
      </c>
      <c r="DH27" s="267">
        <f t="shared" si="63"/>
        <v>5.0592384386084401E-3</v>
      </c>
      <c r="DI27" s="272">
        <f t="shared" si="64"/>
        <v>31.232417302798982</v>
      </c>
      <c r="DJ27" s="264">
        <f t="shared" si="65"/>
        <v>4.8077786017510275E-2</v>
      </c>
      <c r="DK27" s="270">
        <f t="shared" si="66"/>
        <v>4.2061995412160755E-2</v>
      </c>
      <c r="DL27" s="270">
        <f t="shared" si="67"/>
        <v>4.1900759534125059E-2</v>
      </c>
      <c r="DM27" s="265">
        <f t="shared" si="68"/>
        <v>258.66778625954197</v>
      </c>
      <c r="DN27" s="269">
        <f t="shared" si="69"/>
        <v>8.5036341003851667E-3</v>
      </c>
      <c r="DO27" s="267">
        <f t="shared" si="70"/>
        <v>7.4110885113689408E-3</v>
      </c>
      <c r="DP27" s="268">
        <f t="shared" si="71"/>
        <v>45.751195928753184</v>
      </c>
      <c r="DQ27" s="264">
        <f t="shared" si="72"/>
        <v>7.9934866175814023E-2</v>
      </c>
      <c r="DR27" s="270">
        <f t="shared" si="73"/>
        <v>6.9664846979546849E-2</v>
      </c>
      <c r="DS27" s="265">
        <f t="shared" si="74"/>
        <v>430.06503816793895</v>
      </c>
      <c r="DT27" s="269">
        <f t="shared" si="75"/>
        <v>3.9007824183630781E-2</v>
      </c>
      <c r="DU27" s="268">
        <f t="shared" si="76"/>
        <v>240.80870229007635</v>
      </c>
      <c r="DV27" s="264">
        <f t="shared" si="2"/>
        <v>1.630518446204424E-2</v>
      </c>
      <c r="DW27" s="265">
        <f t="shared" si="3"/>
        <v>100.65750636132316</v>
      </c>
      <c r="DX27" s="264">
        <f t="shared" si="77"/>
        <v>1.8917753176290757E-5</v>
      </c>
      <c r="DY27" s="270">
        <f t="shared" si="78"/>
        <v>1.6550646633763983E-5</v>
      </c>
      <c r="DZ27" s="270">
        <f t="shared" si="79"/>
        <v>1.6487203185208946E-5</v>
      </c>
      <c r="EA27" s="265">
        <f t="shared" si="80"/>
        <v>0.10178117048346055</v>
      </c>
      <c r="EB27" s="273">
        <f>IFERROR(VLOOKUP(A27,'BARNET SCHS PUPIL PREMIUM Nos'!$E$31:$V$117,17,0),0)</f>
        <v>20</v>
      </c>
      <c r="EC27" s="258">
        <f>IFERROR(VLOOKUP(A27,CFR20212022_BenchMarkDataReport!$B$4:$CL$90,36,0),0)</f>
        <v>0</v>
      </c>
      <c r="ED27" s="258">
        <f>IFERROR(VLOOKUP(A27,CFR20212022_BenchMarkDataReport!$B$4:$CL$90,37,0),0)</f>
        <v>0</v>
      </c>
      <c r="EE27" s="258">
        <f>IFERROR(VLOOKUP(A27,CFR20212022_BenchMarkDataReport!$B$4:$CL$90,38,0),0)</f>
        <v>19178.52</v>
      </c>
      <c r="EF27" s="258">
        <f>IFERROR(VLOOKUP(A27,CFR20212022_BenchMarkDataReport!$B$4:$CL$90,39,0),0)</f>
        <v>42813</v>
      </c>
      <c r="EG27" s="227"/>
    </row>
    <row r="28" spans="1:137" s="5" customFormat="1">
      <c r="A28" s="293">
        <v>2017</v>
      </c>
      <c r="B28" s="294">
        <v>10057</v>
      </c>
      <c r="C28" s="293" t="s">
        <v>51</v>
      </c>
      <c r="D28" s="258">
        <f>IFERROR(VLOOKUP(A28,CFR20212022_BenchMarkDataReport!$B$4:$CL$90,19,0),0)</f>
        <v>1892962</v>
      </c>
      <c r="E28" s="258">
        <f>IFERROR(VLOOKUP(A28,CFR20212022_BenchMarkDataReport!$B$4:$CL$90,20,0),0)</f>
        <v>0</v>
      </c>
      <c r="F28" s="258">
        <f>IFERROR(VLOOKUP(A28,CFR20212022_BenchMarkDataReport!$B$4:$CL$90,21,0),0)</f>
        <v>72307</v>
      </c>
      <c r="G28" s="258">
        <f>IFERROR(VLOOKUP(A28,CFR20212022_BenchMarkDataReport!$B$4:$CL$90,22,0),0)</f>
        <v>0</v>
      </c>
      <c r="H28" s="258">
        <f>IFERROR(VLOOKUP(A28,CFR20212022_BenchMarkDataReport!$B$4:$CL$90,23,0),0)</f>
        <v>134447</v>
      </c>
      <c r="I28" s="258">
        <f>IFERROR(VLOOKUP(A28,CFR20212022_BenchMarkDataReport!$B$4:$CL$90,24,0),0)</f>
        <v>2000</v>
      </c>
      <c r="J28" s="258">
        <f>IFERROR(VLOOKUP(A28,CFR20212022_BenchMarkDataReport!$B$4:$CL$90,25,0),0)</f>
        <v>56</v>
      </c>
      <c r="K28" s="258">
        <f>IFERROR(VLOOKUP(A28,CFR20212022_BenchMarkDataReport!$B$4:$CL$90,26,0),0)</f>
        <v>14515</v>
      </c>
      <c r="L28" s="258">
        <f>IFERROR(VLOOKUP(A28,CFR20212022_BenchMarkDataReport!$B$4:$CL$90,27,0),0)</f>
        <v>38892</v>
      </c>
      <c r="M28" s="258">
        <f>IFERROR(VLOOKUP(A28,CFR20212022_BenchMarkDataReport!$B$4:$CL$90,28,0),0)</f>
        <v>24018</v>
      </c>
      <c r="N28" s="258">
        <f>IFERROR(VLOOKUP(A28,CFR20212022_BenchMarkDataReport!$B$4:$CL$90,29,0),0)</f>
        <v>4720</v>
      </c>
      <c r="O28" s="258">
        <f>IFERROR(VLOOKUP(A28,CFR20212022_BenchMarkDataReport!$B$4:$CL$90,30,0),0)</f>
        <v>917</v>
      </c>
      <c r="P28" s="258">
        <f>IFERROR(VLOOKUP(A28,CFR20212022_BenchMarkDataReport!$B$4:$CL$90,31,0),0)</f>
        <v>8314</v>
      </c>
      <c r="Q28" s="258">
        <f>IFERROR(VLOOKUP(A28,CFR20212022_BenchMarkDataReport!$B$4:$CL$90,32,0),0)</f>
        <v>22840</v>
      </c>
      <c r="R28" s="258">
        <f>IFERROR(VLOOKUP(A28,CFR20212022_BenchMarkDataReport!$B$4:$CL$90,33,0),0)</f>
        <v>0</v>
      </c>
      <c r="S28" s="258">
        <f>IFERROR(VLOOKUP(A28,CFR20212022_BenchMarkDataReport!$B$4:$CL$90,34,0),0)</f>
        <v>0</v>
      </c>
      <c r="T28" s="258">
        <f>IFERROR(VLOOKUP(A28,CFR20212022_BenchMarkDataReport!$B$4:$CL$90,35,0),0)</f>
        <v>0</v>
      </c>
      <c r="U28" s="258">
        <f t="shared" si="0"/>
        <v>98430</v>
      </c>
      <c r="V28" s="258">
        <f>IFERROR(VLOOKUP(A28,CFR20212022_BenchMarkDataReport!$B$4:$CL$90,40,0),0)</f>
        <v>1160485</v>
      </c>
      <c r="W28" s="258">
        <f>IFERROR(VLOOKUP(A28,CFR20212022_BenchMarkDataReport!$B$4:$CL$90,41,0),0)</f>
        <v>0</v>
      </c>
      <c r="X28" s="258">
        <f>IFERROR(VLOOKUP(A28,CFR20212022_BenchMarkDataReport!$B$4:$CL$90,42,0),0)</f>
        <v>463885</v>
      </c>
      <c r="Y28" s="258">
        <f>IFERROR(VLOOKUP(A28,CFR20212022_BenchMarkDataReport!$B$4:$CL$90,43,0),0)</f>
        <v>35456</v>
      </c>
      <c r="Z28" s="258">
        <f>IFERROR(VLOOKUP(A28,CFR20212022_BenchMarkDataReport!$B$4:$CL$90,44,0),0)</f>
        <v>77678</v>
      </c>
      <c r="AA28" s="258">
        <f>IFERROR(VLOOKUP(A28,CFR20212022_BenchMarkDataReport!$B$4:$CL$90,45,0),0)</f>
        <v>0</v>
      </c>
      <c r="AB28" s="258">
        <f>IFERROR(VLOOKUP(A28,CFR20212022_BenchMarkDataReport!$B$4:$CL$90,46,0),0)</f>
        <v>70219</v>
      </c>
      <c r="AC28" s="258">
        <f>IFERROR(VLOOKUP(A28,CFR20212022_BenchMarkDataReport!$B$4:$CL$90,47,0),0)</f>
        <v>10769</v>
      </c>
      <c r="AD28" s="258">
        <f>IFERROR(VLOOKUP(A28,CFR20212022_BenchMarkDataReport!$B$4:$CL$90,48,0),0)</f>
        <v>4350</v>
      </c>
      <c r="AE28" s="258">
        <f>IFERROR(VLOOKUP(A28,CFR20212022_BenchMarkDataReport!$B$4:$CL$90,49,0),0)</f>
        <v>12781</v>
      </c>
      <c r="AF28" s="258">
        <f>IFERROR(VLOOKUP(A28,CFR20212022_BenchMarkDataReport!$B$4:$CL$90,50,0),0)</f>
        <v>0</v>
      </c>
      <c r="AG28" s="258">
        <f>IFERROR(VLOOKUP(A28,CFR20212022_BenchMarkDataReport!$B$4:$CL$90,51,0),0)</f>
        <v>12210</v>
      </c>
      <c r="AH28" s="258">
        <f>IFERROR(VLOOKUP(A28,CFR20212022_BenchMarkDataReport!$B$4:$CL$90,52,0),0)</f>
        <v>4599</v>
      </c>
      <c r="AI28" s="258">
        <f>IFERROR(VLOOKUP(A28,CFR20212022_BenchMarkDataReport!$B$4:$CL$90,53,0),0)</f>
        <v>33202</v>
      </c>
      <c r="AJ28" s="258">
        <f>IFERROR(VLOOKUP(A28,CFR20212022_BenchMarkDataReport!$B$4:$CL$90,54,0),0)</f>
        <v>7538</v>
      </c>
      <c r="AK28" s="258">
        <f>IFERROR(VLOOKUP(A28,CFR20212022_BenchMarkDataReport!$B$4:$CL$90,55,0),0)</f>
        <v>34969</v>
      </c>
      <c r="AL28" s="258">
        <f>IFERROR(VLOOKUP(A28,CFR20212022_BenchMarkDataReport!$B$4:$CL$90,56,0),0)</f>
        <v>38836</v>
      </c>
      <c r="AM28" s="258">
        <f>IFERROR(VLOOKUP(A28,CFR20212022_BenchMarkDataReport!$B$4:$CL$90,57,0),0)</f>
        <v>11301</v>
      </c>
      <c r="AN28" s="258">
        <f>IFERROR(VLOOKUP(A28,CFR20212022_BenchMarkDataReport!$B$4:$CL$90,58,0),0)</f>
        <v>29485</v>
      </c>
      <c r="AO28" s="258">
        <f>IFERROR(VLOOKUP(A28,CFR20212022_BenchMarkDataReport!$B$4:$CL$90,59,0),0)</f>
        <v>17116</v>
      </c>
      <c r="AP28" s="258">
        <f>IFERROR(VLOOKUP(A28,CFR20212022_BenchMarkDataReport!$B$4:$CL$90,60,0),0)</f>
        <v>0</v>
      </c>
      <c r="AQ28" s="258">
        <f>IFERROR(VLOOKUP(A28,CFR20212022_BenchMarkDataReport!$B$4:$CL$90,61,0),0)</f>
        <v>16902</v>
      </c>
      <c r="AR28" s="258">
        <f>IFERROR(VLOOKUP(A28,CFR20212022_BenchMarkDataReport!$B$4:$CL$90,62,0),0)</f>
        <v>12544</v>
      </c>
      <c r="AS28" s="258">
        <f>IFERROR(VLOOKUP(A28,CFR20212022_BenchMarkDataReport!$B$4:$CL$90,63,0),0)</f>
        <v>3352</v>
      </c>
      <c r="AT28" s="258">
        <f>IFERROR(VLOOKUP(A28,CFR20212022_BenchMarkDataReport!$B$4:$CL$90,64,0),0)</f>
        <v>86619</v>
      </c>
      <c r="AU28" s="258">
        <f>IFERROR(VLOOKUP(A28,CFR20212022_BenchMarkDataReport!$B$4:$CL$90,65,0),0)</f>
        <v>41569</v>
      </c>
      <c r="AV28" s="258">
        <f>IFERROR(VLOOKUP(A28,CFR20212022_BenchMarkDataReport!$B$4:$CL$90,66,0),0)</f>
        <v>60200</v>
      </c>
      <c r="AW28" s="258">
        <f>IFERROR(VLOOKUP(A28,CFR20212022_BenchMarkDataReport!$B$4:$CL$90,67,0),0)</f>
        <v>50595</v>
      </c>
      <c r="AX28" s="258">
        <f>IFERROR(VLOOKUP(A28,CFR20212022_BenchMarkDataReport!$B$4:$CL$90,68,0),0)</f>
        <v>0</v>
      </c>
      <c r="AY28" s="258">
        <f>IFERROR(VLOOKUP(A28,CFR20212022_BenchMarkDataReport!$B$4:$CL$90,69,0),0)</f>
        <v>0</v>
      </c>
      <c r="AZ28" s="258">
        <f>IFERROR(VLOOKUP(A28,CFR20212022_BenchMarkDataReport!$B$4:$CL$90,70,0),0)</f>
        <v>0</v>
      </c>
      <c r="BA28" s="258">
        <f>IFERROR(VLOOKUP(A28,CFR20212022_BenchMarkDataReport!$B$4:$CL$90,71,0),0)</f>
        <v>0</v>
      </c>
      <c r="BB28" s="258">
        <f>IFERROR(VLOOKUP(A28,CFR20212022_BenchMarkDataReport!$B$4:$CL$90,72,0),0)</f>
        <v>0</v>
      </c>
      <c r="BC28" s="259">
        <f t="shared" si="10"/>
        <v>2314418</v>
      </c>
      <c r="BD28" s="260">
        <f t="shared" si="11"/>
        <v>2296660</v>
      </c>
      <c r="BE28" s="296">
        <f t="shared" si="12"/>
        <v>17758</v>
      </c>
      <c r="BF28" s="258">
        <f>IFERROR(VLOOKUP(A28,CFR20212022_BenchMarkDataReport!$B$4:$CL$90,16,0),0)</f>
        <v>117145.37</v>
      </c>
      <c r="BG28" s="296">
        <f t="shared" si="13"/>
        <v>134903.37</v>
      </c>
      <c r="BH28" s="261">
        <f>IFERROR(VLOOKUP(A28,'Pupil Nos BenchmarkData 21-22'!$A$6:$E$94,5,0),0)</f>
        <v>413</v>
      </c>
      <c r="BI28" s="260">
        <f t="shared" si="1"/>
        <v>1965269</v>
      </c>
      <c r="BJ28" s="227" t="s">
        <v>183</v>
      </c>
      <c r="BK28" s="262">
        <f t="shared" si="14"/>
        <v>0.81789979165388449</v>
      </c>
      <c r="BL28" s="263">
        <f t="shared" si="15"/>
        <v>4583.4430992736079</v>
      </c>
      <c r="BM28" s="264">
        <f t="shared" si="16"/>
        <v>0</v>
      </c>
      <c r="BN28" s="265">
        <f t="shared" si="17"/>
        <v>0</v>
      </c>
      <c r="BO28" s="262">
        <f t="shared" si="18"/>
        <v>3.1241979625115254E-2</v>
      </c>
      <c r="BP28" s="263">
        <f t="shared" si="19"/>
        <v>175.07748184019371</v>
      </c>
      <c r="BQ28" s="264">
        <f t="shared" si="20"/>
        <v>0</v>
      </c>
      <c r="BR28" s="265">
        <f t="shared" si="21"/>
        <v>0</v>
      </c>
      <c r="BS28" s="262">
        <f t="shared" si="22"/>
        <v>5.8091062202246961E-2</v>
      </c>
      <c r="BT28" s="263">
        <f t="shared" si="23"/>
        <v>325.53753026634382</v>
      </c>
      <c r="BU28" s="264">
        <f t="shared" si="24"/>
        <v>8.6414813573001937E-4</v>
      </c>
      <c r="BV28" s="265">
        <f t="shared" si="25"/>
        <v>4.8426150121065374</v>
      </c>
      <c r="BW28" s="262">
        <f t="shared" si="26"/>
        <v>2.4196147800440544E-5</v>
      </c>
      <c r="BX28" s="263">
        <f t="shared" si="27"/>
        <v>0.13559322033898305</v>
      </c>
      <c r="BY28" s="264">
        <f t="shared" si="28"/>
        <v>2.3075779742466572E-2</v>
      </c>
      <c r="BZ28" s="266">
        <f t="shared" si="29"/>
        <v>129.31476997578693</v>
      </c>
      <c r="CA28" s="267">
        <f t="shared" si="30"/>
        <v>3.5922638002296907E-3</v>
      </c>
      <c r="CB28" s="268">
        <f t="shared" si="31"/>
        <v>20.130750605326877</v>
      </c>
      <c r="CC28" s="264">
        <f t="shared" si="32"/>
        <v>9.8685717100368206E-3</v>
      </c>
      <c r="CD28" s="265">
        <f t="shared" si="33"/>
        <v>55.302663438256658</v>
      </c>
      <c r="CE28" s="269">
        <f t="shared" si="34"/>
        <v>0.61164858347635875</v>
      </c>
      <c r="CF28" s="267">
        <f t="shared" si="35"/>
        <v>0.51937636157340639</v>
      </c>
      <c r="CG28" s="267">
        <f t="shared" si="36"/>
        <v>0.52339223045640193</v>
      </c>
      <c r="CH28" s="268">
        <f t="shared" si="37"/>
        <v>2910.5423728813557</v>
      </c>
      <c r="CI28" s="264">
        <f t="shared" si="38"/>
        <v>0.23604147829126701</v>
      </c>
      <c r="CJ28" s="270">
        <f t="shared" si="39"/>
        <v>0.20043267897156003</v>
      </c>
      <c r="CK28" s="270">
        <f t="shared" si="40"/>
        <v>0.20198244407095522</v>
      </c>
      <c r="CL28" s="271">
        <f t="shared" si="41"/>
        <v>1123.2082324455205</v>
      </c>
      <c r="CM28" s="269">
        <f t="shared" si="42"/>
        <v>1.8041296127909206E-2</v>
      </c>
      <c r="CN28" s="267">
        <f t="shared" si="43"/>
        <v>1.5319618150221783E-2</v>
      </c>
      <c r="CO28" s="267">
        <f t="shared" si="44"/>
        <v>1.5438070937796627E-2</v>
      </c>
      <c r="CP28" s="268">
        <f t="shared" si="45"/>
        <v>85.849878934624698</v>
      </c>
      <c r="CQ28" s="264">
        <f t="shared" si="46"/>
        <v>3.9525377950804699E-2</v>
      </c>
      <c r="CR28" s="270">
        <f t="shared" si="47"/>
        <v>3.3562649443618225E-2</v>
      </c>
      <c r="CS28" s="270">
        <f t="shared" si="48"/>
        <v>3.3822159135440164E-2</v>
      </c>
      <c r="CT28" s="265">
        <f t="shared" si="49"/>
        <v>188.08232445520582</v>
      </c>
      <c r="CU28" s="269">
        <f t="shared" si="50"/>
        <v>0.9198348928314648</v>
      </c>
      <c r="CV28" s="267">
        <f t="shared" si="51"/>
        <v>0.78107023018313892</v>
      </c>
      <c r="CW28" s="267">
        <f t="shared" si="52"/>
        <v>0.78710954168226899</v>
      </c>
      <c r="CX28" s="268">
        <f t="shared" si="53"/>
        <v>4377.053268765133</v>
      </c>
      <c r="CY28" s="264">
        <f t="shared" si="54"/>
        <v>6.212889940257542E-3</v>
      </c>
      <c r="CZ28" s="270">
        <f t="shared" si="55"/>
        <v>5.3164160128186151E-3</v>
      </c>
      <c r="DA28" s="265">
        <f t="shared" si="56"/>
        <v>29.564164648910413</v>
      </c>
      <c r="DB28" s="269">
        <f t="shared" si="57"/>
        <v>3.2821575679464962E-3</v>
      </c>
      <c r="DC28" s="268">
        <f t="shared" si="58"/>
        <v>18.251815980629541</v>
      </c>
      <c r="DD28" s="264">
        <f t="shared" si="59"/>
        <v>1.7793492900971826E-2</v>
      </c>
      <c r="DE28" s="270">
        <f t="shared" si="60"/>
        <v>1.5226023878153493E-2</v>
      </c>
      <c r="DF28" s="265">
        <f t="shared" si="61"/>
        <v>84.670702179176757</v>
      </c>
      <c r="DG28" s="269">
        <f t="shared" si="62"/>
        <v>5.7503578390540938E-3</v>
      </c>
      <c r="DH28" s="267">
        <f t="shared" si="63"/>
        <v>4.9206238624785554E-3</v>
      </c>
      <c r="DI28" s="272">
        <f t="shared" si="64"/>
        <v>27.36319612590799</v>
      </c>
      <c r="DJ28" s="264">
        <f t="shared" si="65"/>
        <v>1.5003035207902837E-2</v>
      </c>
      <c r="DK28" s="270">
        <f t="shared" si="66"/>
        <v>1.273970389099981E-2</v>
      </c>
      <c r="DL28" s="270">
        <f t="shared" si="67"/>
        <v>1.2838208528907196E-2</v>
      </c>
      <c r="DM28" s="265">
        <f t="shared" si="68"/>
        <v>71.392251815980629</v>
      </c>
      <c r="DN28" s="269">
        <f t="shared" si="69"/>
        <v>8.6003493669314472E-3</v>
      </c>
      <c r="DO28" s="267">
        <f t="shared" si="70"/>
        <v>7.3593827558280289E-3</v>
      </c>
      <c r="DP28" s="268">
        <f t="shared" si="71"/>
        <v>40.924939467312349</v>
      </c>
      <c r="DQ28" s="264">
        <f t="shared" si="72"/>
        <v>3.0631938935585919E-2</v>
      </c>
      <c r="DR28" s="270">
        <f t="shared" si="73"/>
        <v>2.6211977393258035E-2</v>
      </c>
      <c r="DS28" s="265">
        <f t="shared" si="74"/>
        <v>145.76271186440678</v>
      </c>
      <c r="DT28" s="269">
        <f t="shared" si="75"/>
        <v>3.7715203817717903E-2</v>
      </c>
      <c r="DU28" s="268">
        <f t="shared" si="76"/>
        <v>209.73123486682809</v>
      </c>
      <c r="DV28" s="264">
        <f t="shared" si="2"/>
        <v>1.4456645737723477E-2</v>
      </c>
      <c r="DW28" s="265">
        <f t="shared" si="3"/>
        <v>80.392251815980629</v>
      </c>
      <c r="DX28" s="264">
        <f t="shared" si="77"/>
        <v>5.037478329938548E-5</v>
      </c>
      <c r="DY28" s="270">
        <f t="shared" si="78"/>
        <v>4.2775332718635957E-5</v>
      </c>
      <c r="DZ28" s="270">
        <f t="shared" si="79"/>
        <v>4.3106075779610394E-5</v>
      </c>
      <c r="EA28" s="265">
        <f t="shared" si="80"/>
        <v>0.23970944309927361</v>
      </c>
      <c r="EB28" s="273">
        <f>IFERROR(VLOOKUP(A28,'BARNET SCHS PUPIL PREMIUM Nos'!$E$31:$V$117,17,0),0)</f>
        <v>99</v>
      </c>
      <c r="EC28" s="258">
        <f>IFERROR(VLOOKUP(A28,CFR20212022_BenchMarkDataReport!$B$4:$CL$90,36,0),0)</f>
        <v>-6615</v>
      </c>
      <c r="ED28" s="258">
        <f>IFERROR(VLOOKUP(A28,CFR20212022_BenchMarkDataReport!$B$4:$CL$90,37,0),0)</f>
        <v>0</v>
      </c>
      <c r="EE28" s="258">
        <f>IFERROR(VLOOKUP(A28,CFR20212022_BenchMarkDataReport!$B$4:$CL$90,38,0),0)</f>
        <v>0</v>
      </c>
      <c r="EF28" s="258">
        <f>IFERROR(VLOOKUP(A28,CFR20212022_BenchMarkDataReport!$B$4:$CL$90,39,0),0)</f>
        <v>105045</v>
      </c>
      <c r="EG28" s="227"/>
    </row>
    <row r="29" spans="1:137" s="5" customFormat="1">
      <c r="A29" s="293">
        <v>2073</v>
      </c>
      <c r="B29" s="294">
        <v>10083</v>
      </c>
      <c r="C29" s="293" t="s">
        <v>52</v>
      </c>
      <c r="D29" s="258">
        <f>IFERROR(VLOOKUP(A29,CFR20212022_BenchMarkDataReport!$B$4:$CL$90,19,0),0)</f>
        <v>2840689.29</v>
      </c>
      <c r="E29" s="258">
        <f>IFERROR(VLOOKUP(A29,CFR20212022_BenchMarkDataReport!$B$4:$CL$90,20,0),0)</f>
        <v>0</v>
      </c>
      <c r="F29" s="258">
        <f>IFERROR(VLOOKUP(A29,CFR20212022_BenchMarkDataReport!$B$4:$CL$90,21,0),0)</f>
        <v>290382.11</v>
      </c>
      <c r="G29" s="258">
        <f>IFERROR(VLOOKUP(A29,CFR20212022_BenchMarkDataReport!$B$4:$CL$90,22,0),0)</f>
        <v>0</v>
      </c>
      <c r="H29" s="258">
        <f>IFERROR(VLOOKUP(A29,CFR20212022_BenchMarkDataReport!$B$4:$CL$90,23,0),0)</f>
        <v>237188.24</v>
      </c>
      <c r="I29" s="258">
        <f>IFERROR(VLOOKUP(A29,CFR20212022_BenchMarkDataReport!$B$4:$CL$90,24,0),0)</f>
        <v>1000</v>
      </c>
      <c r="J29" s="258">
        <f>IFERROR(VLOOKUP(A29,CFR20212022_BenchMarkDataReport!$B$4:$CL$90,25,0),0)</f>
        <v>30926.240000000002</v>
      </c>
      <c r="K29" s="258">
        <f>IFERROR(VLOOKUP(A29,CFR20212022_BenchMarkDataReport!$B$4:$CL$90,26,0),0)</f>
        <v>400</v>
      </c>
      <c r="L29" s="258">
        <f>IFERROR(VLOOKUP(A29,CFR20212022_BenchMarkDataReport!$B$4:$CL$90,27,0),0)</f>
        <v>80285.009999999995</v>
      </c>
      <c r="M29" s="258">
        <f>IFERROR(VLOOKUP(A29,CFR20212022_BenchMarkDataReport!$B$4:$CL$90,28,0),0)</f>
        <v>71514.48</v>
      </c>
      <c r="N29" s="258">
        <f>IFERROR(VLOOKUP(A29,CFR20212022_BenchMarkDataReport!$B$4:$CL$90,29,0),0)</f>
        <v>0</v>
      </c>
      <c r="O29" s="258">
        <f>IFERROR(VLOOKUP(A29,CFR20212022_BenchMarkDataReport!$B$4:$CL$90,30,0),0)</f>
        <v>0</v>
      </c>
      <c r="P29" s="258">
        <f>IFERROR(VLOOKUP(A29,CFR20212022_BenchMarkDataReport!$B$4:$CL$90,31,0),0)</f>
        <v>38006.379999999997</v>
      </c>
      <c r="Q29" s="258">
        <f>IFERROR(VLOOKUP(A29,CFR20212022_BenchMarkDataReport!$B$4:$CL$90,32,0),0)</f>
        <v>7492.21</v>
      </c>
      <c r="R29" s="258">
        <f>IFERROR(VLOOKUP(A29,CFR20212022_BenchMarkDataReport!$B$4:$CL$90,33,0),0)</f>
        <v>0</v>
      </c>
      <c r="S29" s="258">
        <f>IFERROR(VLOOKUP(A29,CFR20212022_BenchMarkDataReport!$B$4:$CL$90,34,0),0)</f>
        <v>0</v>
      </c>
      <c r="T29" s="258">
        <f>IFERROR(VLOOKUP(A29,CFR20212022_BenchMarkDataReport!$B$4:$CL$90,35,0),0)</f>
        <v>0</v>
      </c>
      <c r="U29" s="258">
        <f t="shared" si="0"/>
        <v>201274</v>
      </c>
      <c r="V29" s="258">
        <f>IFERROR(VLOOKUP(A29,CFR20212022_BenchMarkDataReport!$B$4:$CL$90,40,0),0)</f>
        <v>1492467.06</v>
      </c>
      <c r="W29" s="258">
        <f>IFERROR(VLOOKUP(A29,CFR20212022_BenchMarkDataReport!$B$4:$CL$90,41,0),0)</f>
        <v>0</v>
      </c>
      <c r="X29" s="258">
        <f>IFERROR(VLOOKUP(A29,CFR20212022_BenchMarkDataReport!$B$4:$CL$90,42,0),0)</f>
        <v>1053532.6299999999</v>
      </c>
      <c r="Y29" s="258">
        <f>IFERROR(VLOOKUP(A29,CFR20212022_BenchMarkDataReport!$B$4:$CL$90,43,0),0)</f>
        <v>166091.68</v>
      </c>
      <c r="Z29" s="258">
        <f>IFERROR(VLOOKUP(A29,CFR20212022_BenchMarkDataReport!$B$4:$CL$90,44,0),0)</f>
        <v>133016.76999999999</v>
      </c>
      <c r="AA29" s="258">
        <f>IFERROR(VLOOKUP(A29,CFR20212022_BenchMarkDataReport!$B$4:$CL$90,45,0),0)</f>
        <v>159424.35999999999</v>
      </c>
      <c r="AB29" s="258">
        <f>IFERROR(VLOOKUP(A29,CFR20212022_BenchMarkDataReport!$B$4:$CL$90,46,0),0)</f>
        <v>197003.18</v>
      </c>
      <c r="AC29" s="258">
        <f>IFERROR(VLOOKUP(A29,CFR20212022_BenchMarkDataReport!$B$4:$CL$90,47,0),0)</f>
        <v>22342.720000000001</v>
      </c>
      <c r="AD29" s="258">
        <f>IFERROR(VLOOKUP(A29,CFR20212022_BenchMarkDataReport!$B$4:$CL$90,48,0),0)</f>
        <v>13519.64</v>
      </c>
      <c r="AE29" s="258">
        <f>IFERROR(VLOOKUP(A29,CFR20212022_BenchMarkDataReport!$B$4:$CL$90,49,0),0)</f>
        <v>1020.08</v>
      </c>
      <c r="AF29" s="258">
        <f>IFERROR(VLOOKUP(A29,CFR20212022_BenchMarkDataReport!$B$4:$CL$90,50,0),0)</f>
        <v>3500</v>
      </c>
      <c r="AG29" s="258">
        <f>IFERROR(VLOOKUP(A29,CFR20212022_BenchMarkDataReport!$B$4:$CL$90,51,0),0)</f>
        <v>28381.15</v>
      </c>
      <c r="AH29" s="258">
        <f>IFERROR(VLOOKUP(A29,CFR20212022_BenchMarkDataReport!$B$4:$CL$90,52,0),0)</f>
        <v>33882.160000000003</v>
      </c>
      <c r="AI29" s="258">
        <f>IFERROR(VLOOKUP(A29,CFR20212022_BenchMarkDataReport!$B$4:$CL$90,53,0),0)</f>
        <v>9523.67</v>
      </c>
      <c r="AJ29" s="258">
        <f>IFERROR(VLOOKUP(A29,CFR20212022_BenchMarkDataReport!$B$4:$CL$90,54,0),0)</f>
        <v>5614.12</v>
      </c>
      <c r="AK29" s="258">
        <f>IFERROR(VLOOKUP(A29,CFR20212022_BenchMarkDataReport!$B$4:$CL$90,55,0),0)</f>
        <v>46057.48</v>
      </c>
      <c r="AL29" s="258">
        <f>IFERROR(VLOOKUP(A29,CFR20212022_BenchMarkDataReport!$B$4:$CL$90,56,0),0)</f>
        <v>54999.78</v>
      </c>
      <c r="AM29" s="258">
        <f>IFERROR(VLOOKUP(A29,CFR20212022_BenchMarkDataReport!$B$4:$CL$90,57,0),0)</f>
        <v>21329.27</v>
      </c>
      <c r="AN29" s="258">
        <f>IFERROR(VLOOKUP(A29,CFR20212022_BenchMarkDataReport!$B$4:$CL$90,58,0),0)</f>
        <v>54797.760000000002</v>
      </c>
      <c r="AO29" s="258">
        <f>IFERROR(VLOOKUP(A29,CFR20212022_BenchMarkDataReport!$B$4:$CL$90,59,0),0)</f>
        <v>32639.279999999999</v>
      </c>
      <c r="AP29" s="258">
        <f>IFERROR(VLOOKUP(A29,CFR20212022_BenchMarkDataReport!$B$4:$CL$90,60,0),0)</f>
        <v>0</v>
      </c>
      <c r="AQ29" s="258">
        <f>IFERROR(VLOOKUP(A29,CFR20212022_BenchMarkDataReport!$B$4:$CL$90,61,0),0)</f>
        <v>80438.539999999994</v>
      </c>
      <c r="AR29" s="258">
        <f>IFERROR(VLOOKUP(A29,CFR20212022_BenchMarkDataReport!$B$4:$CL$90,62,0),0)</f>
        <v>18784.11</v>
      </c>
      <c r="AS29" s="258">
        <f>IFERROR(VLOOKUP(A29,CFR20212022_BenchMarkDataReport!$B$4:$CL$90,63,0),0)</f>
        <v>18759.57</v>
      </c>
      <c r="AT29" s="258">
        <f>IFERROR(VLOOKUP(A29,CFR20212022_BenchMarkDataReport!$B$4:$CL$90,64,0),0)</f>
        <v>162086.32999999999</v>
      </c>
      <c r="AU29" s="258">
        <f>IFERROR(VLOOKUP(A29,CFR20212022_BenchMarkDataReport!$B$4:$CL$90,65,0),0)</f>
        <v>82263.3</v>
      </c>
      <c r="AV29" s="258">
        <f>IFERROR(VLOOKUP(A29,CFR20212022_BenchMarkDataReport!$B$4:$CL$90,66,0),0)</f>
        <v>61005.41</v>
      </c>
      <c r="AW29" s="258">
        <f>IFERROR(VLOOKUP(A29,CFR20212022_BenchMarkDataReport!$B$4:$CL$90,67,0),0)</f>
        <v>39465.46</v>
      </c>
      <c r="AX29" s="258">
        <f>IFERROR(VLOOKUP(A29,CFR20212022_BenchMarkDataReport!$B$4:$CL$90,68,0),0)</f>
        <v>0</v>
      </c>
      <c r="AY29" s="258">
        <f>IFERROR(VLOOKUP(A29,CFR20212022_BenchMarkDataReport!$B$4:$CL$90,69,0),0)</f>
        <v>0</v>
      </c>
      <c r="AZ29" s="258">
        <f>IFERROR(VLOOKUP(A29,CFR20212022_BenchMarkDataReport!$B$4:$CL$90,70,0),0)</f>
        <v>0</v>
      </c>
      <c r="BA29" s="258">
        <f>IFERROR(VLOOKUP(A29,CFR20212022_BenchMarkDataReport!$B$4:$CL$90,71,0),0)</f>
        <v>0</v>
      </c>
      <c r="BB29" s="258">
        <f>IFERROR(VLOOKUP(A29,CFR20212022_BenchMarkDataReport!$B$4:$CL$90,72,0),0)</f>
        <v>0</v>
      </c>
      <c r="BC29" s="259">
        <f t="shared" si="10"/>
        <v>3799157.9599999995</v>
      </c>
      <c r="BD29" s="260">
        <f t="shared" si="11"/>
        <v>3991945.51</v>
      </c>
      <c r="BE29" s="296">
        <f t="shared" si="12"/>
        <v>-192787.55000000028</v>
      </c>
      <c r="BF29" s="258">
        <f>IFERROR(VLOOKUP(A29,CFR20212022_BenchMarkDataReport!$B$4:$CL$90,16,0),0)</f>
        <v>312741.11</v>
      </c>
      <c r="BG29" s="296">
        <f t="shared" si="13"/>
        <v>119953.55999999971</v>
      </c>
      <c r="BH29" s="261">
        <f>IFERROR(VLOOKUP(A29,'Pupil Nos BenchmarkData 21-22'!$A$6:$E$94,5,0),0)</f>
        <v>622</v>
      </c>
      <c r="BI29" s="260">
        <f t="shared" si="1"/>
        <v>3131071.4</v>
      </c>
      <c r="BJ29" s="227" t="s">
        <v>183</v>
      </c>
      <c r="BK29" s="262">
        <f t="shared" si="14"/>
        <v>0.74771549904179302</v>
      </c>
      <c r="BL29" s="263">
        <f t="shared" si="15"/>
        <v>4567.024581993569</v>
      </c>
      <c r="BM29" s="264">
        <f t="shared" si="16"/>
        <v>0</v>
      </c>
      <c r="BN29" s="265">
        <f t="shared" si="17"/>
        <v>0</v>
      </c>
      <c r="BO29" s="262">
        <f t="shared" si="18"/>
        <v>7.6433281547472171E-2</v>
      </c>
      <c r="BP29" s="263">
        <f t="shared" si="19"/>
        <v>466.85226688102892</v>
      </c>
      <c r="BQ29" s="264">
        <f t="shared" si="20"/>
        <v>0</v>
      </c>
      <c r="BR29" s="265">
        <f t="shared" si="21"/>
        <v>0</v>
      </c>
      <c r="BS29" s="262">
        <f t="shared" si="22"/>
        <v>6.2431792122694479E-2</v>
      </c>
      <c r="BT29" s="263">
        <f t="shared" si="23"/>
        <v>381.33157556270095</v>
      </c>
      <c r="BU29" s="264">
        <f t="shared" si="24"/>
        <v>2.6321622068064789E-4</v>
      </c>
      <c r="BV29" s="265">
        <f t="shared" si="25"/>
        <v>1.607717041800643</v>
      </c>
      <c r="BW29" s="262">
        <f t="shared" si="26"/>
        <v>8.1402880126626807E-3</v>
      </c>
      <c r="BX29" s="263">
        <f t="shared" si="27"/>
        <v>49.720643086816722</v>
      </c>
      <c r="BY29" s="264">
        <f t="shared" si="28"/>
        <v>2.1237603397780282E-2</v>
      </c>
      <c r="BZ29" s="266">
        <f t="shared" si="29"/>
        <v>129.71866559485531</v>
      </c>
      <c r="CA29" s="267">
        <f t="shared" si="30"/>
        <v>1.0003895705352563E-2</v>
      </c>
      <c r="CB29" s="268">
        <f t="shared" si="31"/>
        <v>61.10350482315112</v>
      </c>
      <c r="CC29" s="264">
        <f t="shared" si="32"/>
        <v>1.972071200745757E-3</v>
      </c>
      <c r="CD29" s="265">
        <f t="shared" si="33"/>
        <v>12.045353697749196</v>
      </c>
      <c r="CE29" s="269">
        <f t="shared" si="34"/>
        <v>0.50293658586003509</v>
      </c>
      <c r="CF29" s="267">
        <f t="shared" si="35"/>
        <v>0.41449457395027617</v>
      </c>
      <c r="CG29" s="267">
        <f t="shared" si="36"/>
        <v>0.39447691759700404</v>
      </c>
      <c r="CH29" s="268">
        <f t="shared" si="37"/>
        <v>2531.720836012862</v>
      </c>
      <c r="CI29" s="264">
        <f t="shared" si="38"/>
        <v>0.33647671848045368</v>
      </c>
      <c r="CJ29" s="270">
        <f t="shared" si="39"/>
        <v>0.27730687723234337</v>
      </c>
      <c r="CK29" s="270">
        <f t="shared" si="40"/>
        <v>0.26391458184007127</v>
      </c>
      <c r="CL29" s="271">
        <f t="shared" si="41"/>
        <v>1693.7823633440512</v>
      </c>
      <c r="CM29" s="269">
        <f t="shared" si="42"/>
        <v>5.3046276747314033E-2</v>
      </c>
      <c r="CN29" s="267">
        <f t="shared" si="43"/>
        <v>4.3718024296099556E-2</v>
      </c>
      <c r="CO29" s="267">
        <f t="shared" si="44"/>
        <v>4.1606700187648601E-2</v>
      </c>
      <c r="CP29" s="268">
        <f t="shared" si="45"/>
        <v>267.02842443729901</v>
      </c>
      <c r="CQ29" s="264">
        <f t="shared" si="46"/>
        <v>4.2482828721184702E-2</v>
      </c>
      <c r="CR29" s="270">
        <f t="shared" si="47"/>
        <v>3.5012171486546985E-2</v>
      </c>
      <c r="CS29" s="270">
        <f t="shared" si="48"/>
        <v>3.3321288997253874E-2</v>
      </c>
      <c r="CT29" s="265">
        <f t="shared" si="49"/>
        <v>213.85332797427651</v>
      </c>
      <c r="CU29" s="269">
        <f t="shared" si="50"/>
        <v>1.0225048461047552</v>
      </c>
      <c r="CV29" s="267">
        <f t="shared" si="51"/>
        <v>0.84269612206384825</v>
      </c>
      <c r="CW29" s="267">
        <f t="shared" si="52"/>
        <v>0.80199884291506784</v>
      </c>
      <c r="CX29" s="268">
        <f t="shared" si="53"/>
        <v>5147.1634726688108</v>
      </c>
      <c r="CY29" s="264">
        <f t="shared" si="54"/>
        <v>9.0643573314872355E-3</v>
      </c>
      <c r="CZ29" s="270">
        <f t="shared" si="55"/>
        <v>7.1096035576898448E-3</v>
      </c>
      <c r="DA29" s="265">
        <f t="shared" si="56"/>
        <v>45.628858520900323</v>
      </c>
      <c r="DB29" s="269">
        <f t="shared" si="57"/>
        <v>1.4063618819285938E-3</v>
      </c>
      <c r="DC29" s="268">
        <f t="shared" si="58"/>
        <v>9.0259163987138269</v>
      </c>
      <c r="DD29" s="264">
        <f t="shared" si="59"/>
        <v>1.47098146659958E-2</v>
      </c>
      <c r="DE29" s="270">
        <f t="shared" si="60"/>
        <v>1.1537602375739845E-2</v>
      </c>
      <c r="DF29" s="265">
        <f t="shared" si="61"/>
        <v>74.047395498392291</v>
      </c>
      <c r="DG29" s="269">
        <f t="shared" si="62"/>
        <v>6.8121314640094124E-3</v>
      </c>
      <c r="DH29" s="267">
        <f t="shared" si="63"/>
        <v>5.3430764389366635E-3</v>
      </c>
      <c r="DI29" s="272">
        <f t="shared" si="64"/>
        <v>34.291430868167204</v>
      </c>
      <c r="DJ29" s="264">
        <f t="shared" si="65"/>
        <v>1.7501280871461446E-2</v>
      </c>
      <c r="DK29" s="270">
        <f t="shared" si="66"/>
        <v>1.4423659288965182E-2</v>
      </c>
      <c r="DL29" s="270">
        <f t="shared" si="67"/>
        <v>1.372708115948206E-2</v>
      </c>
      <c r="DM29" s="265">
        <f t="shared" si="68"/>
        <v>88.099292604501613</v>
      </c>
      <c r="DN29" s="269">
        <f t="shared" si="69"/>
        <v>2.5690420218459405E-2</v>
      </c>
      <c r="DO29" s="267">
        <f t="shared" si="70"/>
        <v>2.0150209916066714E-2</v>
      </c>
      <c r="DP29" s="268">
        <f t="shared" si="71"/>
        <v>129.32241157556268</v>
      </c>
      <c r="DQ29" s="264">
        <f t="shared" si="72"/>
        <v>1.9483876988560529E-2</v>
      </c>
      <c r="DR29" s="270">
        <f t="shared" si="73"/>
        <v>1.5282124930608085E-2</v>
      </c>
      <c r="DS29" s="265">
        <f t="shared" si="74"/>
        <v>98.079437299035376</v>
      </c>
      <c r="DT29" s="269">
        <f t="shared" si="75"/>
        <v>4.0603342303637803E-2</v>
      </c>
      <c r="DU29" s="268">
        <f t="shared" si="76"/>
        <v>260.5889549839228</v>
      </c>
      <c r="DV29" s="264">
        <f t="shared" si="2"/>
        <v>2.3857214423750992E-3</v>
      </c>
      <c r="DW29" s="265">
        <f t="shared" si="3"/>
        <v>15.311366559485531</v>
      </c>
      <c r="DX29" s="264">
        <f t="shared" si="77"/>
        <v>5.5252652494606162E-5</v>
      </c>
      <c r="DY29" s="270">
        <f t="shared" si="78"/>
        <v>4.553640617775209E-5</v>
      </c>
      <c r="DZ29" s="270">
        <f t="shared" si="79"/>
        <v>4.3337264891674339E-5</v>
      </c>
      <c r="EA29" s="265">
        <f t="shared" si="80"/>
        <v>0.27813504823151125</v>
      </c>
      <c r="EB29" s="273">
        <f>IFERROR(VLOOKUP(A29,'BARNET SCHS PUPIL PREMIUM Nos'!$E$31:$V$117,17,0),0)</f>
        <v>173</v>
      </c>
      <c r="EC29" s="258">
        <f>IFERROR(VLOOKUP(A29,CFR20212022_BenchMarkDataReport!$B$4:$CL$90,36,0),0)</f>
        <v>7725</v>
      </c>
      <c r="ED29" s="258">
        <f>IFERROR(VLOOKUP(A29,CFR20212022_BenchMarkDataReport!$B$4:$CL$90,37,0),0)</f>
        <v>46267</v>
      </c>
      <c r="EE29" s="258">
        <f>IFERROR(VLOOKUP(A29,CFR20212022_BenchMarkDataReport!$B$4:$CL$90,38,0),0)</f>
        <v>44120</v>
      </c>
      <c r="EF29" s="258">
        <f>IFERROR(VLOOKUP(A29,CFR20212022_BenchMarkDataReport!$B$4:$CL$90,39,0),0)</f>
        <v>103162</v>
      </c>
      <c r="EG29" s="227"/>
    </row>
    <row r="30" spans="1:137" s="5" customFormat="1">
      <c r="A30" s="293">
        <v>2019</v>
      </c>
      <c r="B30" s="294">
        <v>10059</v>
      </c>
      <c r="C30" s="293" t="s">
        <v>53</v>
      </c>
      <c r="D30" s="258">
        <f>IFERROR(VLOOKUP(A30,CFR20212022_BenchMarkDataReport!$B$4:$CL$90,19,0),0)</f>
        <v>1291683.52</v>
      </c>
      <c r="E30" s="258">
        <f>IFERROR(VLOOKUP(A30,CFR20212022_BenchMarkDataReport!$B$4:$CL$90,20,0),0)</f>
        <v>0</v>
      </c>
      <c r="F30" s="258">
        <f>IFERROR(VLOOKUP(A30,CFR20212022_BenchMarkDataReport!$B$4:$CL$90,21,0),0)</f>
        <v>102952.22</v>
      </c>
      <c r="G30" s="258">
        <f>IFERROR(VLOOKUP(A30,CFR20212022_BenchMarkDataReport!$B$4:$CL$90,22,0),0)</f>
        <v>0</v>
      </c>
      <c r="H30" s="258">
        <f>IFERROR(VLOOKUP(A30,CFR20212022_BenchMarkDataReport!$B$4:$CL$90,23,0),0)</f>
        <v>52455.03</v>
      </c>
      <c r="I30" s="258">
        <f>IFERROR(VLOOKUP(A30,CFR20212022_BenchMarkDataReport!$B$4:$CL$90,24,0),0)</f>
        <v>9359.7800000000007</v>
      </c>
      <c r="J30" s="258">
        <f>IFERROR(VLOOKUP(A30,CFR20212022_BenchMarkDataReport!$B$4:$CL$90,25,0),0)</f>
        <v>0</v>
      </c>
      <c r="K30" s="258">
        <f>IFERROR(VLOOKUP(A30,CFR20212022_BenchMarkDataReport!$B$4:$CL$90,26,0),0)</f>
        <v>50</v>
      </c>
      <c r="L30" s="258">
        <f>IFERROR(VLOOKUP(A30,CFR20212022_BenchMarkDataReport!$B$4:$CL$90,27,0),0)</f>
        <v>39018.769999999997</v>
      </c>
      <c r="M30" s="258">
        <f>IFERROR(VLOOKUP(A30,CFR20212022_BenchMarkDataReport!$B$4:$CL$90,28,0),0)</f>
        <v>32.46</v>
      </c>
      <c r="N30" s="258">
        <f>IFERROR(VLOOKUP(A30,CFR20212022_BenchMarkDataReport!$B$4:$CL$90,29,0),0)</f>
        <v>0</v>
      </c>
      <c r="O30" s="258">
        <f>IFERROR(VLOOKUP(A30,CFR20212022_BenchMarkDataReport!$B$4:$CL$90,30,0),0)</f>
        <v>0</v>
      </c>
      <c r="P30" s="258">
        <f>IFERROR(VLOOKUP(A30,CFR20212022_BenchMarkDataReport!$B$4:$CL$90,31,0),0)</f>
        <v>3613.5</v>
      </c>
      <c r="Q30" s="258">
        <f>IFERROR(VLOOKUP(A30,CFR20212022_BenchMarkDataReport!$B$4:$CL$90,32,0),0)</f>
        <v>4856.6099999999997</v>
      </c>
      <c r="R30" s="258">
        <f>IFERROR(VLOOKUP(A30,CFR20212022_BenchMarkDataReport!$B$4:$CL$90,33,0),0)</f>
        <v>0</v>
      </c>
      <c r="S30" s="258">
        <f>IFERROR(VLOOKUP(A30,CFR20212022_BenchMarkDataReport!$B$4:$CL$90,34,0),0)</f>
        <v>0</v>
      </c>
      <c r="T30" s="258">
        <f>IFERROR(VLOOKUP(A30,CFR20212022_BenchMarkDataReport!$B$4:$CL$90,35,0),0)</f>
        <v>0</v>
      </c>
      <c r="U30" s="258">
        <f t="shared" si="0"/>
        <v>96966.12</v>
      </c>
      <c r="V30" s="258">
        <f>IFERROR(VLOOKUP(A30,CFR20212022_BenchMarkDataReport!$B$4:$CL$90,40,0),0)</f>
        <v>770481.99</v>
      </c>
      <c r="W30" s="258">
        <f>IFERROR(VLOOKUP(A30,CFR20212022_BenchMarkDataReport!$B$4:$CL$90,41,0),0)</f>
        <v>13473.96</v>
      </c>
      <c r="X30" s="258">
        <f>IFERROR(VLOOKUP(A30,CFR20212022_BenchMarkDataReport!$B$4:$CL$90,42,0),0)</f>
        <v>466358.15</v>
      </c>
      <c r="Y30" s="258">
        <f>IFERROR(VLOOKUP(A30,CFR20212022_BenchMarkDataReport!$B$4:$CL$90,43,0),0)</f>
        <v>42952.83</v>
      </c>
      <c r="Z30" s="258">
        <f>IFERROR(VLOOKUP(A30,CFR20212022_BenchMarkDataReport!$B$4:$CL$90,44,0),0)</f>
        <v>83295.42</v>
      </c>
      <c r="AA30" s="258">
        <f>IFERROR(VLOOKUP(A30,CFR20212022_BenchMarkDataReport!$B$4:$CL$90,45,0),0)</f>
        <v>0</v>
      </c>
      <c r="AB30" s="258">
        <f>IFERROR(VLOOKUP(A30,CFR20212022_BenchMarkDataReport!$B$4:$CL$90,46,0),0)</f>
        <v>54775.18</v>
      </c>
      <c r="AC30" s="258">
        <f>IFERROR(VLOOKUP(A30,CFR20212022_BenchMarkDataReport!$B$4:$CL$90,47,0),0)</f>
        <v>7175.91</v>
      </c>
      <c r="AD30" s="258">
        <f>IFERROR(VLOOKUP(A30,CFR20212022_BenchMarkDataReport!$B$4:$CL$90,48,0),0)</f>
        <v>1286.25</v>
      </c>
      <c r="AE30" s="258">
        <f>IFERROR(VLOOKUP(A30,CFR20212022_BenchMarkDataReport!$B$4:$CL$90,49,0),0)</f>
        <v>349.32</v>
      </c>
      <c r="AF30" s="258">
        <f>IFERROR(VLOOKUP(A30,CFR20212022_BenchMarkDataReport!$B$4:$CL$90,50,0),0)</f>
        <v>0</v>
      </c>
      <c r="AG30" s="258">
        <f>IFERROR(VLOOKUP(A30,CFR20212022_BenchMarkDataReport!$B$4:$CL$90,51,0),0)</f>
        <v>12941.46</v>
      </c>
      <c r="AH30" s="258">
        <f>IFERROR(VLOOKUP(A30,CFR20212022_BenchMarkDataReport!$B$4:$CL$90,52,0),0)</f>
        <v>8578.0400000000009</v>
      </c>
      <c r="AI30" s="258">
        <f>IFERROR(VLOOKUP(A30,CFR20212022_BenchMarkDataReport!$B$4:$CL$90,53,0),0)</f>
        <v>1598.49</v>
      </c>
      <c r="AJ30" s="258">
        <f>IFERROR(VLOOKUP(A30,CFR20212022_BenchMarkDataReport!$B$4:$CL$90,54,0),0)</f>
        <v>10096.42</v>
      </c>
      <c r="AK30" s="258">
        <f>IFERROR(VLOOKUP(A30,CFR20212022_BenchMarkDataReport!$B$4:$CL$90,55,0),0)</f>
        <v>23646.7</v>
      </c>
      <c r="AL30" s="258">
        <f>IFERROR(VLOOKUP(A30,CFR20212022_BenchMarkDataReport!$B$4:$CL$90,56,0),0)</f>
        <v>17589.75</v>
      </c>
      <c r="AM30" s="258">
        <f>IFERROR(VLOOKUP(A30,CFR20212022_BenchMarkDataReport!$B$4:$CL$90,57,0),0)</f>
        <v>6562.99</v>
      </c>
      <c r="AN30" s="258">
        <f>IFERROR(VLOOKUP(A30,CFR20212022_BenchMarkDataReport!$B$4:$CL$90,58,0),0)</f>
        <v>12454.15</v>
      </c>
      <c r="AO30" s="258">
        <f>IFERROR(VLOOKUP(A30,CFR20212022_BenchMarkDataReport!$B$4:$CL$90,59,0),0)</f>
        <v>13599.69</v>
      </c>
      <c r="AP30" s="258">
        <f>IFERROR(VLOOKUP(A30,CFR20212022_BenchMarkDataReport!$B$4:$CL$90,60,0),0)</f>
        <v>0</v>
      </c>
      <c r="AQ30" s="258">
        <f>IFERROR(VLOOKUP(A30,CFR20212022_BenchMarkDataReport!$B$4:$CL$90,61,0),0)</f>
        <v>11810.62</v>
      </c>
      <c r="AR30" s="258">
        <f>IFERROR(VLOOKUP(A30,CFR20212022_BenchMarkDataReport!$B$4:$CL$90,62,0),0)</f>
        <v>6791.31</v>
      </c>
      <c r="AS30" s="258">
        <f>IFERROR(VLOOKUP(A30,CFR20212022_BenchMarkDataReport!$B$4:$CL$90,63,0),0)</f>
        <v>1773.48</v>
      </c>
      <c r="AT30" s="258">
        <f>IFERROR(VLOOKUP(A30,CFR20212022_BenchMarkDataReport!$B$4:$CL$90,64,0),0)</f>
        <v>74852.78</v>
      </c>
      <c r="AU30" s="258">
        <f>IFERROR(VLOOKUP(A30,CFR20212022_BenchMarkDataReport!$B$4:$CL$90,65,0),0)</f>
        <v>64836.85</v>
      </c>
      <c r="AV30" s="258">
        <f>IFERROR(VLOOKUP(A30,CFR20212022_BenchMarkDataReport!$B$4:$CL$90,66,0),0)</f>
        <v>92726.55</v>
      </c>
      <c r="AW30" s="258">
        <f>IFERROR(VLOOKUP(A30,CFR20212022_BenchMarkDataReport!$B$4:$CL$90,67,0),0)</f>
        <v>29713.759999999998</v>
      </c>
      <c r="AX30" s="258">
        <f>IFERROR(VLOOKUP(A30,CFR20212022_BenchMarkDataReport!$B$4:$CL$90,68,0),0)</f>
        <v>0</v>
      </c>
      <c r="AY30" s="258">
        <f>IFERROR(VLOOKUP(A30,CFR20212022_BenchMarkDataReport!$B$4:$CL$90,69,0),0)</f>
        <v>0</v>
      </c>
      <c r="AZ30" s="258">
        <f>IFERROR(VLOOKUP(A30,CFR20212022_BenchMarkDataReport!$B$4:$CL$90,70,0),0)</f>
        <v>0</v>
      </c>
      <c r="BA30" s="258">
        <f>IFERROR(VLOOKUP(A30,CFR20212022_BenchMarkDataReport!$B$4:$CL$90,71,0),0)</f>
        <v>0</v>
      </c>
      <c r="BB30" s="258">
        <f>IFERROR(VLOOKUP(A30,CFR20212022_BenchMarkDataReport!$B$4:$CL$90,72,0),0)</f>
        <v>0</v>
      </c>
      <c r="BC30" s="259">
        <f t="shared" si="10"/>
        <v>1600988.0100000002</v>
      </c>
      <c r="BD30" s="260">
        <f t="shared" si="11"/>
        <v>1829722.05</v>
      </c>
      <c r="BE30" s="296">
        <f t="shared" si="12"/>
        <v>-228734.0399999998</v>
      </c>
      <c r="BF30" s="258">
        <f>IFERROR(VLOOKUP(A30,CFR20212022_BenchMarkDataReport!$B$4:$CL$90,16,0),0)</f>
        <v>182562.04</v>
      </c>
      <c r="BG30" s="296">
        <f t="shared" si="13"/>
        <v>-46171.999999999796</v>
      </c>
      <c r="BH30" s="261">
        <f>IFERROR(VLOOKUP(A30,'Pupil Nos BenchmarkData 21-22'!$A$6:$E$94,5,0),0)</f>
        <v>248</v>
      </c>
      <c r="BI30" s="260">
        <f t="shared" si="1"/>
        <v>1394635.74</v>
      </c>
      <c r="BJ30" s="227" t="s">
        <v>183</v>
      </c>
      <c r="BK30" s="262">
        <f t="shared" si="14"/>
        <v>0.8068039934914939</v>
      </c>
      <c r="BL30" s="263">
        <f t="shared" si="15"/>
        <v>5208.4012903225803</v>
      </c>
      <c r="BM30" s="264">
        <f t="shared" si="16"/>
        <v>0</v>
      </c>
      <c r="BN30" s="265">
        <f t="shared" si="17"/>
        <v>0</v>
      </c>
      <c r="BO30" s="262">
        <f t="shared" si="18"/>
        <v>6.4305428495994785E-2</v>
      </c>
      <c r="BP30" s="263">
        <f t="shared" si="19"/>
        <v>415.12991935483871</v>
      </c>
      <c r="BQ30" s="264">
        <f t="shared" si="20"/>
        <v>0</v>
      </c>
      <c r="BR30" s="265">
        <f t="shared" si="21"/>
        <v>0</v>
      </c>
      <c r="BS30" s="262">
        <f t="shared" si="22"/>
        <v>3.2764161675389432E-2</v>
      </c>
      <c r="BT30" s="263">
        <f t="shared" si="23"/>
        <v>211.51221774193547</v>
      </c>
      <c r="BU30" s="264">
        <f t="shared" si="24"/>
        <v>5.8462524026023149E-3</v>
      </c>
      <c r="BV30" s="265">
        <f t="shared" si="25"/>
        <v>37.741048387096775</v>
      </c>
      <c r="BW30" s="262">
        <f t="shared" si="26"/>
        <v>0</v>
      </c>
      <c r="BX30" s="263">
        <f t="shared" si="27"/>
        <v>0</v>
      </c>
      <c r="BY30" s="264">
        <f t="shared" si="28"/>
        <v>2.4402912299137075E-2</v>
      </c>
      <c r="BZ30" s="266">
        <f t="shared" si="29"/>
        <v>157.5353629032258</v>
      </c>
      <c r="CA30" s="267">
        <f t="shared" si="30"/>
        <v>2.2570437613708295E-3</v>
      </c>
      <c r="CB30" s="268">
        <f t="shared" si="31"/>
        <v>14.570564516129032</v>
      </c>
      <c r="CC30" s="264">
        <f t="shared" si="32"/>
        <v>3.0335080398259814E-3</v>
      </c>
      <c r="CD30" s="265">
        <f t="shared" si="33"/>
        <v>19.583104838709676</v>
      </c>
      <c r="CE30" s="269">
        <f t="shared" si="34"/>
        <v>0.60861253993103603</v>
      </c>
      <c r="CF30" s="267">
        <f t="shared" si="35"/>
        <v>0.53016811787366214</v>
      </c>
      <c r="CG30" s="267">
        <f t="shared" si="36"/>
        <v>0.46389166048471675</v>
      </c>
      <c r="CH30" s="268">
        <f t="shared" si="37"/>
        <v>3422.5516129032253</v>
      </c>
      <c r="CI30" s="264">
        <f t="shared" si="38"/>
        <v>0.33439423400980678</v>
      </c>
      <c r="CJ30" s="270">
        <f t="shared" si="39"/>
        <v>0.29129396790423179</v>
      </c>
      <c r="CK30" s="270">
        <f t="shared" si="40"/>
        <v>0.25487923152043779</v>
      </c>
      <c r="CL30" s="271">
        <f t="shared" si="41"/>
        <v>1880.4764112903226</v>
      </c>
      <c r="CM30" s="269">
        <f t="shared" si="42"/>
        <v>3.0798601217548034E-2</v>
      </c>
      <c r="CN30" s="267">
        <f t="shared" si="43"/>
        <v>2.6828951704641432E-2</v>
      </c>
      <c r="CO30" s="267">
        <f t="shared" si="44"/>
        <v>2.3475057318132007E-2</v>
      </c>
      <c r="CP30" s="268">
        <f t="shared" si="45"/>
        <v>173.19689516129034</v>
      </c>
      <c r="CQ30" s="264">
        <f t="shared" si="46"/>
        <v>5.9725573933735558E-2</v>
      </c>
      <c r="CR30" s="270">
        <f t="shared" si="47"/>
        <v>5.20275101872874E-2</v>
      </c>
      <c r="CS30" s="270">
        <f t="shared" si="48"/>
        <v>4.5523537304477474E-2</v>
      </c>
      <c r="CT30" s="265">
        <f t="shared" si="49"/>
        <v>335.86862903225807</v>
      </c>
      <c r="CU30" s="269">
        <f t="shared" si="50"/>
        <v>1.0263163985744408</v>
      </c>
      <c r="CV30" s="267">
        <f t="shared" si="51"/>
        <v>0.89403388473846213</v>
      </c>
      <c r="CW30" s="267">
        <f t="shared" si="52"/>
        <v>0.78227047108056658</v>
      </c>
      <c r="CX30" s="268">
        <f t="shared" si="53"/>
        <v>5771.5222983870972</v>
      </c>
      <c r="CY30" s="264">
        <f t="shared" si="54"/>
        <v>9.2794552934660907E-3</v>
      </c>
      <c r="CZ30" s="270">
        <f t="shared" si="55"/>
        <v>7.0729103362994388E-3</v>
      </c>
      <c r="DA30" s="265">
        <f t="shared" si="56"/>
        <v>52.1833064516129</v>
      </c>
      <c r="DB30" s="269">
        <f t="shared" si="57"/>
        <v>5.5180075028335588E-3</v>
      </c>
      <c r="DC30" s="268">
        <f t="shared" si="58"/>
        <v>40.711370967741935</v>
      </c>
      <c r="DD30" s="264">
        <f t="shared" si="59"/>
        <v>1.6955466808845729E-2</v>
      </c>
      <c r="DE30" s="270">
        <f t="shared" si="60"/>
        <v>1.2923656901877528E-2</v>
      </c>
      <c r="DF30" s="265">
        <f t="shared" si="61"/>
        <v>95.349596774193557</v>
      </c>
      <c r="DG30" s="269">
        <f t="shared" si="62"/>
        <v>4.7058811213313663E-3</v>
      </c>
      <c r="DH30" s="267">
        <f t="shared" si="63"/>
        <v>3.5868781271997021E-3</v>
      </c>
      <c r="DI30" s="272">
        <f t="shared" si="64"/>
        <v>26.463669354838707</v>
      </c>
      <c r="DJ30" s="264">
        <f t="shared" si="65"/>
        <v>8.9300378893201176E-3</v>
      </c>
      <c r="DK30" s="270">
        <f t="shared" si="66"/>
        <v>7.7790401440920205E-3</v>
      </c>
      <c r="DL30" s="270">
        <f t="shared" si="67"/>
        <v>6.8065802672050649E-3</v>
      </c>
      <c r="DM30" s="265">
        <f t="shared" si="68"/>
        <v>50.218346774193549</v>
      </c>
      <c r="DN30" s="269">
        <f t="shared" si="69"/>
        <v>8.46860557295054E-3</v>
      </c>
      <c r="DO30" s="267">
        <f t="shared" si="70"/>
        <v>6.4548711100683304E-3</v>
      </c>
      <c r="DP30" s="268">
        <f t="shared" si="71"/>
        <v>47.623467741935485</v>
      </c>
      <c r="DQ30" s="264">
        <f t="shared" si="72"/>
        <v>6.6488006395132249E-2</v>
      </c>
      <c r="DR30" s="270">
        <f t="shared" si="73"/>
        <v>5.0677943133493962E-2</v>
      </c>
      <c r="DS30" s="265">
        <f t="shared" si="74"/>
        <v>373.89737903225807</v>
      </c>
      <c r="DT30" s="269">
        <f t="shared" si="75"/>
        <v>4.0909371999971252E-2</v>
      </c>
      <c r="DU30" s="268">
        <f t="shared" si="76"/>
        <v>301.8257258064516</v>
      </c>
      <c r="DV30" s="264">
        <f t="shared" si="2"/>
        <v>8.7362449394977782E-4</v>
      </c>
      <c r="DW30" s="265">
        <f t="shared" si="3"/>
        <v>6.4455241935483869</v>
      </c>
      <c r="DX30" s="264">
        <f t="shared" si="77"/>
        <v>2.7964291234928486E-5</v>
      </c>
      <c r="DY30" s="270">
        <f t="shared" si="78"/>
        <v>2.4359957573948349E-5</v>
      </c>
      <c r="DZ30" s="270">
        <f t="shared" si="79"/>
        <v>2.131471280023105E-5</v>
      </c>
      <c r="EA30" s="265">
        <f t="shared" si="80"/>
        <v>0.15725806451612903</v>
      </c>
      <c r="EB30" s="273">
        <f>IFERROR(VLOOKUP(A30,'BARNET SCHS PUPIL PREMIUM Nos'!$E$31:$V$117,17,0),0)</f>
        <v>39</v>
      </c>
      <c r="EC30" s="258">
        <f>IFERROR(VLOOKUP(A30,CFR20212022_BenchMarkDataReport!$B$4:$CL$90,36,0),0)</f>
        <v>0</v>
      </c>
      <c r="ED30" s="258">
        <f>IFERROR(VLOOKUP(A30,CFR20212022_BenchMarkDataReport!$B$4:$CL$90,37,0),0)</f>
        <v>7100</v>
      </c>
      <c r="EE30" s="258">
        <f>IFERROR(VLOOKUP(A30,CFR20212022_BenchMarkDataReport!$B$4:$CL$90,38,0),0)</f>
        <v>4835.62</v>
      </c>
      <c r="EF30" s="258">
        <f>IFERROR(VLOOKUP(A30,CFR20212022_BenchMarkDataReport!$B$4:$CL$90,39,0),0)</f>
        <v>85030.5</v>
      </c>
      <c r="EG30" s="227"/>
    </row>
    <row r="31" spans="1:137" s="5" customFormat="1">
      <c r="A31" s="147">
        <v>2021</v>
      </c>
      <c r="B31" s="298">
        <v>10061</v>
      </c>
      <c r="C31" s="301" t="s">
        <v>367</v>
      </c>
      <c r="D31" s="258">
        <f>IFERROR(VLOOKUP(A31,CFR20212022_BenchMarkDataReport!$B$4:$CL$90,19,0),0)</f>
        <v>2555819.4500000002</v>
      </c>
      <c r="E31" s="258">
        <f>IFERROR(VLOOKUP(A31,CFR20212022_BenchMarkDataReport!$B$4:$CL$90,20,0),0)</f>
        <v>0</v>
      </c>
      <c r="F31" s="258">
        <f>IFERROR(VLOOKUP(A31,CFR20212022_BenchMarkDataReport!$B$4:$CL$90,21,0),0)</f>
        <v>81779.58</v>
      </c>
      <c r="G31" s="258">
        <f>IFERROR(VLOOKUP(A31,CFR20212022_BenchMarkDataReport!$B$4:$CL$90,22,0),0)</f>
        <v>0</v>
      </c>
      <c r="H31" s="258">
        <f>IFERROR(VLOOKUP(A31,CFR20212022_BenchMarkDataReport!$B$4:$CL$90,23,0),0)</f>
        <v>193900.03</v>
      </c>
      <c r="I31" s="258">
        <f>IFERROR(VLOOKUP(A31,CFR20212022_BenchMarkDataReport!$B$4:$CL$90,24,0),0)</f>
        <v>4400</v>
      </c>
      <c r="J31" s="258">
        <f>IFERROR(VLOOKUP(A31,CFR20212022_BenchMarkDataReport!$B$4:$CL$90,25,0),0)</f>
        <v>165470.82</v>
      </c>
      <c r="K31" s="258">
        <f>IFERROR(VLOOKUP(A31,CFR20212022_BenchMarkDataReport!$B$4:$CL$90,26,0),0)</f>
        <v>51716</v>
      </c>
      <c r="L31" s="258">
        <f>IFERROR(VLOOKUP(A31,CFR20212022_BenchMarkDataReport!$B$4:$CL$90,27,0),0)</f>
        <v>52253.24</v>
      </c>
      <c r="M31" s="258">
        <f>IFERROR(VLOOKUP(A31,CFR20212022_BenchMarkDataReport!$B$4:$CL$90,28,0),0)</f>
        <v>32236.89</v>
      </c>
      <c r="N31" s="258">
        <f>IFERROR(VLOOKUP(A31,CFR20212022_BenchMarkDataReport!$B$4:$CL$90,29,0),0)</f>
        <v>0</v>
      </c>
      <c r="O31" s="258">
        <f>IFERROR(VLOOKUP(A31,CFR20212022_BenchMarkDataReport!$B$4:$CL$90,30,0),0)</f>
        <v>0</v>
      </c>
      <c r="P31" s="258">
        <f>IFERROR(VLOOKUP(A31,CFR20212022_BenchMarkDataReport!$B$4:$CL$90,31,0),0)</f>
        <v>0</v>
      </c>
      <c r="Q31" s="258">
        <f>IFERROR(VLOOKUP(A31,CFR20212022_BenchMarkDataReport!$B$4:$CL$90,32,0),0)</f>
        <v>7783.17</v>
      </c>
      <c r="R31" s="258">
        <f>IFERROR(VLOOKUP(A31,CFR20212022_BenchMarkDataReport!$B$4:$CL$90,33,0),0)</f>
        <v>0</v>
      </c>
      <c r="S31" s="258">
        <f>IFERROR(VLOOKUP(A31,CFR20212022_BenchMarkDataReport!$B$4:$CL$90,34,0),0)</f>
        <v>0</v>
      </c>
      <c r="T31" s="258">
        <f>IFERROR(VLOOKUP(A31,CFR20212022_BenchMarkDataReport!$B$4:$CL$90,35,0),0)</f>
        <v>0</v>
      </c>
      <c r="U31" s="258">
        <f t="shared" si="0"/>
        <v>97459.83</v>
      </c>
      <c r="V31" s="258">
        <f>IFERROR(VLOOKUP(A31,CFR20212022_BenchMarkDataReport!$B$4:$CL$90,40,0),0)</f>
        <v>1214248.45</v>
      </c>
      <c r="W31" s="258">
        <f>IFERROR(VLOOKUP(A31,CFR20212022_BenchMarkDataReport!$B$4:$CL$90,41,0),0)</f>
        <v>0</v>
      </c>
      <c r="X31" s="258">
        <f>IFERROR(VLOOKUP(A31,CFR20212022_BenchMarkDataReport!$B$4:$CL$90,42,0),0)</f>
        <v>689859.28</v>
      </c>
      <c r="Y31" s="258">
        <f>IFERROR(VLOOKUP(A31,CFR20212022_BenchMarkDataReport!$B$4:$CL$90,43,0),0)</f>
        <v>79010.16</v>
      </c>
      <c r="Z31" s="258">
        <f>IFERROR(VLOOKUP(A31,CFR20212022_BenchMarkDataReport!$B$4:$CL$90,44,0),0)</f>
        <v>187584.27</v>
      </c>
      <c r="AA31" s="258">
        <f>IFERROR(VLOOKUP(A31,CFR20212022_BenchMarkDataReport!$B$4:$CL$90,45,0),0)</f>
        <v>0</v>
      </c>
      <c r="AB31" s="258">
        <f>IFERROR(VLOOKUP(A31,CFR20212022_BenchMarkDataReport!$B$4:$CL$90,46,0),0)</f>
        <v>33210.26</v>
      </c>
      <c r="AC31" s="258">
        <f>IFERROR(VLOOKUP(A31,CFR20212022_BenchMarkDataReport!$B$4:$CL$90,47,0),0)</f>
        <v>56518</v>
      </c>
      <c r="AD31" s="258">
        <f>IFERROR(VLOOKUP(A31,CFR20212022_BenchMarkDataReport!$B$4:$CL$90,48,0),0)</f>
        <v>9141.01</v>
      </c>
      <c r="AE31" s="258">
        <f>IFERROR(VLOOKUP(A31,CFR20212022_BenchMarkDataReport!$B$4:$CL$90,49,0),0)</f>
        <v>726.52</v>
      </c>
      <c r="AF31" s="258">
        <f>IFERROR(VLOOKUP(A31,CFR20212022_BenchMarkDataReport!$B$4:$CL$90,50,0),0)</f>
        <v>2146.96</v>
      </c>
      <c r="AG31" s="258">
        <f>IFERROR(VLOOKUP(A31,CFR20212022_BenchMarkDataReport!$B$4:$CL$90,51,0),0)</f>
        <v>43748.43</v>
      </c>
      <c r="AH31" s="258">
        <f>IFERROR(VLOOKUP(A31,CFR20212022_BenchMarkDataReport!$B$4:$CL$90,52,0),0)</f>
        <v>11693.47</v>
      </c>
      <c r="AI31" s="258">
        <f>IFERROR(VLOOKUP(A31,CFR20212022_BenchMarkDataReport!$B$4:$CL$90,53,0),0)</f>
        <v>51459.09</v>
      </c>
      <c r="AJ31" s="258">
        <f>IFERROR(VLOOKUP(A31,CFR20212022_BenchMarkDataReport!$B$4:$CL$90,54,0),0)</f>
        <v>9311.58</v>
      </c>
      <c r="AK31" s="258">
        <f>IFERROR(VLOOKUP(A31,CFR20212022_BenchMarkDataReport!$B$4:$CL$90,55,0),0)</f>
        <v>67875.740000000005</v>
      </c>
      <c r="AL31" s="258">
        <f>IFERROR(VLOOKUP(A31,CFR20212022_BenchMarkDataReport!$B$4:$CL$90,56,0),0)</f>
        <v>58112</v>
      </c>
      <c r="AM31" s="258">
        <f>IFERROR(VLOOKUP(A31,CFR20212022_BenchMarkDataReport!$B$4:$CL$90,57,0),0)</f>
        <v>32145.71</v>
      </c>
      <c r="AN31" s="258">
        <f>IFERROR(VLOOKUP(A31,CFR20212022_BenchMarkDataReport!$B$4:$CL$90,58,0),0)</f>
        <v>93675.25</v>
      </c>
      <c r="AO31" s="258">
        <f>IFERROR(VLOOKUP(A31,CFR20212022_BenchMarkDataReport!$B$4:$CL$90,59,0),0)</f>
        <v>20851.509999999998</v>
      </c>
      <c r="AP31" s="258">
        <f>IFERROR(VLOOKUP(A31,CFR20212022_BenchMarkDataReport!$B$4:$CL$90,60,0),0)</f>
        <v>0</v>
      </c>
      <c r="AQ31" s="258">
        <f>IFERROR(VLOOKUP(A31,CFR20212022_BenchMarkDataReport!$B$4:$CL$90,61,0),0)</f>
        <v>30196.57</v>
      </c>
      <c r="AR31" s="258">
        <f>IFERROR(VLOOKUP(A31,CFR20212022_BenchMarkDataReport!$B$4:$CL$90,62,0),0)</f>
        <v>13753.45</v>
      </c>
      <c r="AS31" s="258">
        <f>IFERROR(VLOOKUP(A31,CFR20212022_BenchMarkDataReport!$B$4:$CL$90,63,0),0)</f>
        <v>1313.25</v>
      </c>
      <c r="AT31" s="258">
        <f>IFERROR(VLOOKUP(A31,CFR20212022_BenchMarkDataReport!$B$4:$CL$90,64,0),0)</f>
        <v>120819.26</v>
      </c>
      <c r="AU31" s="258">
        <f>IFERROR(VLOOKUP(A31,CFR20212022_BenchMarkDataReport!$B$4:$CL$90,65,0),0)</f>
        <v>133203.68</v>
      </c>
      <c r="AV31" s="258">
        <f>IFERROR(VLOOKUP(A31,CFR20212022_BenchMarkDataReport!$B$4:$CL$90,66,0),0)</f>
        <v>145755.70000000001</v>
      </c>
      <c r="AW31" s="258">
        <f>IFERROR(VLOOKUP(A31,CFR20212022_BenchMarkDataReport!$B$4:$CL$90,67,0),0)</f>
        <v>39189.31</v>
      </c>
      <c r="AX31" s="258">
        <f>IFERROR(VLOOKUP(A31,CFR20212022_BenchMarkDataReport!$B$4:$CL$90,68,0),0)</f>
        <v>0</v>
      </c>
      <c r="AY31" s="258">
        <f>IFERROR(VLOOKUP(A31,CFR20212022_BenchMarkDataReport!$B$4:$CL$90,69,0),0)</f>
        <v>0</v>
      </c>
      <c r="AZ31" s="258">
        <f>IFERROR(VLOOKUP(A31,CFR20212022_BenchMarkDataReport!$B$4:$CL$90,70,0),0)</f>
        <v>0</v>
      </c>
      <c r="BA31" s="258">
        <f>IFERROR(VLOOKUP(A31,CFR20212022_BenchMarkDataReport!$B$4:$CL$90,71,0),0)</f>
        <v>0</v>
      </c>
      <c r="BB31" s="258">
        <f>IFERROR(VLOOKUP(A31,CFR20212022_BenchMarkDataReport!$B$4:$CL$90,72,0),0)</f>
        <v>0</v>
      </c>
      <c r="BC31" s="259">
        <f t="shared" si="10"/>
        <v>3242819.0100000002</v>
      </c>
      <c r="BD31" s="260">
        <f t="shared" si="11"/>
        <v>3145548.9099999997</v>
      </c>
      <c r="BE31" s="300">
        <f t="shared" si="12"/>
        <v>97270.100000000559</v>
      </c>
      <c r="BF31" s="258">
        <f>IFERROR(VLOOKUP(A31,CFR20212022_BenchMarkDataReport!$B$4:$CL$90,16,0),0)</f>
        <v>160077.66</v>
      </c>
      <c r="BG31" s="300">
        <f t="shared" si="13"/>
        <v>257347.76000000056</v>
      </c>
      <c r="BH31" s="261">
        <f>IFERROR(VLOOKUP(A31,'Pupil Nos BenchmarkData 21-22'!$A$6:$E$94,5,0),0)</f>
        <v>457</v>
      </c>
      <c r="BI31" s="260">
        <f t="shared" si="1"/>
        <v>2637599.0300000003</v>
      </c>
      <c r="BJ31" s="227" t="s">
        <v>183</v>
      </c>
      <c r="BK31" s="262">
        <f t="shared" si="14"/>
        <v>0.78814742423753092</v>
      </c>
      <c r="BL31" s="263">
        <f t="shared" si="15"/>
        <v>5592.6027352297597</v>
      </c>
      <c r="BM31" s="264">
        <f t="shared" si="16"/>
        <v>0</v>
      </c>
      <c r="BN31" s="265">
        <f t="shared" si="17"/>
        <v>0</v>
      </c>
      <c r="BO31" s="262">
        <f t="shared" si="18"/>
        <v>2.5218669234333864E-2</v>
      </c>
      <c r="BP31" s="263">
        <f t="shared" si="19"/>
        <v>178.94875273522976</v>
      </c>
      <c r="BQ31" s="264">
        <f t="shared" si="20"/>
        <v>0</v>
      </c>
      <c r="BR31" s="265">
        <f t="shared" si="21"/>
        <v>0</v>
      </c>
      <c r="BS31" s="262">
        <f t="shared" si="22"/>
        <v>5.9793663908489295E-2</v>
      </c>
      <c r="BT31" s="263">
        <f t="shared" si="23"/>
        <v>424.2889059080963</v>
      </c>
      <c r="BU31" s="264">
        <f t="shared" si="24"/>
        <v>1.3568441490047882E-3</v>
      </c>
      <c r="BV31" s="265">
        <f t="shared" si="25"/>
        <v>9.62800875273523</v>
      </c>
      <c r="BW31" s="262">
        <f t="shared" si="26"/>
        <v>5.1026844079096474E-2</v>
      </c>
      <c r="BX31" s="263">
        <f t="shared" si="27"/>
        <v>362.08056892778995</v>
      </c>
      <c r="BY31" s="264">
        <f t="shared" si="28"/>
        <v>3.2061376129653311E-2</v>
      </c>
      <c r="BZ31" s="266">
        <f t="shared" si="29"/>
        <v>227.50380743982493</v>
      </c>
      <c r="CA31" s="267">
        <f t="shared" si="30"/>
        <v>0</v>
      </c>
      <c r="CB31" s="268">
        <f t="shared" si="31"/>
        <v>0</v>
      </c>
      <c r="CC31" s="264">
        <f t="shared" si="32"/>
        <v>2.4001246989112722E-3</v>
      </c>
      <c r="CD31" s="265">
        <f t="shared" si="33"/>
        <v>17.031006564551422</v>
      </c>
      <c r="CE31" s="269">
        <f t="shared" si="34"/>
        <v>0.51086314283335166</v>
      </c>
      <c r="CF31" s="267">
        <f t="shared" si="35"/>
        <v>0.41551875878512251</v>
      </c>
      <c r="CG31" s="267">
        <f t="shared" si="36"/>
        <v>0.42836788381077823</v>
      </c>
      <c r="CH31" s="268">
        <f t="shared" si="37"/>
        <v>2948.4729321663017</v>
      </c>
      <c r="CI31" s="264">
        <f t="shared" si="38"/>
        <v>0.26154820052386807</v>
      </c>
      <c r="CJ31" s="270">
        <f t="shared" si="39"/>
        <v>0.21273443811469453</v>
      </c>
      <c r="CK31" s="270">
        <f t="shared" si="40"/>
        <v>0.21931284482872659</v>
      </c>
      <c r="CL31" s="271">
        <f t="shared" si="41"/>
        <v>1509.5389059080962</v>
      </c>
      <c r="CM31" s="269">
        <f t="shared" si="42"/>
        <v>2.9955334037258877E-2</v>
      </c>
      <c r="CN31" s="267">
        <f t="shared" si="43"/>
        <v>2.4364653024530038E-2</v>
      </c>
      <c r="CO31" s="267">
        <f t="shared" si="44"/>
        <v>2.5118083444456762E-2</v>
      </c>
      <c r="CP31" s="268">
        <f t="shared" si="45"/>
        <v>172.88875273522976</v>
      </c>
      <c r="CQ31" s="264">
        <f t="shared" si="46"/>
        <v>7.111932779259475E-2</v>
      </c>
      <c r="CR31" s="270">
        <f t="shared" si="47"/>
        <v>5.7846049817007819E-2</v>
      </c>
      <c r="CS31" s="270">
        <f t="shared" si="48"/>
        <v>5.9634828567965266E-2</v>
      </c>
      <c r="CT31" s="265">
        <f t="shared" si="49"/>
        <v>410.46886214442009</v>
      </c>
      <c r="CU31" s="269">
        <f t="shared" si="50"/>
        <v>0.8355752314634417</v>
      </c>
      <c r="CV31" s="267">
        <f t="shared" si="51"/>
        <v>0.67962856181726872</v>
      </c>
      <c r="CW31" s="267">
        <f t="shared" si="52"/>
        <v>0.70064477872003572</v>
      </c>
      <c r="CX31" s="268">
        <f t="shared" si="53"/>
        <v>4822.5654704595172</v>
      </c>
      <c r="CY31" s="264">
        <f t="shared" si="54"/>
        <v>1.6586459693989194E-2</v>
      </c>
      <c r="CZ31" s="270">
        <f t="shared" si="55"/>
        <v>1.3908043159309835E-2</v>
      </c>
      <c r="DA31" s="265">
        <f t="shared" si="56"/>
        <v>95.729606126914661</v>
      </c>
      <c r="DB31" s="269">
        <f t="shared" si="57"/>
        <v>2.9602400936757332E-3</v>
      </c>
      <c r="DC31" s="268">
        <f t="shared" si="58"/>
        <v>20.375448577680526</v>
      </c>
      <c r="DD31" s="264">
        <f t="shared" si="59"/>
        <v>2.5733911496016889E-2</v>
      </c>
      <c r="DE31" s="270">
        <f t="shared" si="60"/>
        <v>2.1578345128958752E-2</v>
      </c>
      <c r="DF31" s="265">
        <f t="shared" si="61"/>
        <v>148.52459518599562</v>
      </c>
      <c r="DG31" s="269">
        <f t="shared" si="62"/>
        <v>1.2187489316751832E-2</v>
      </c>
      <c r="DH31" s="267">
        <f t="shared" si="63"/>
        <v>1.0219427807275774E-2</v>
      </c>
      <c r="DI31" s="272">
        <f t="shared" si="64"/>
        <v>70.34072210065645</v>
      </c>
      <c r="DJ31" s="264">
        <f t="shared" si="65"/>
        <v>3.5515348972508527E-2</v>
      </c>
      <c r="DK31" s="270">
        <f t="shared" si="66"/>
        <v>2.8886980652059267E-2</v>
      </c>
      <c r="DL31" s="270">
        <f t="shared" si="67"/>
        <v>2.9780255427660798E-2</v>
      </c>
      <c r="DM31" s="265">
        <f t="shared" si="68"/>
        <v>204.97866520787747</v>
      </c>
      <c r="DN31" s="269">
        <f t="shared" si="69"/>
        <v>1.1448506636734697E-2</v>
      </c>
      <c r="DO31" s="267">
        <f t="shared" si="70"/>
        <v>9.5997776108335906E-3</v>
      </c>
      <c r="DP31" s="268">
        <f t="shared" si="71"/>
        <v>66.075645514223197</v>
      </c>
      <c r="DQ31" s="264">
        <f t="shared" si="72"/>
        <v>5.5260749773630297E-2</v>
      </c>
      <c r="DR31" s="270">
        <f t="shared" si="73"/>
        <v>4.6337127213831819E-2</v>
      </c>
      <c r="DS31" s="265">
        <f t="shared" si="74"/>
        <v>318.9402625820569</v>
      </c>
      <c r="DT31" s="269">
        <f t="shared" si="75"/>
        <v>3.84095950998899E-2</v>
      </c>
      <c r="DU31" s="268">
        <f t="shared" si="76"/>
        <v>264.37474835886212</v>
      </c>
      <c r="DV31" s="264">
        <f t="shared" si="2"/>
        <v>1.6359335515784432E-2</v>
      </c>
      <c r="DW31" s="265">
        <f t="shared" si="3"/>
        <v>112.60194748358862</v>
      </c>
      <c r="DX31" s="264">
        <f t="shared" si="77"/>
        <v>5.459510652003841E-5</v>
      </c>
      <c r="DY31" s="270">
        <f t="shared" si="78"/>
        <v>4.4405808512883975E-5</v>
      </c>
      <c r="DZ31" s="270">
        <f t="shared" si="79"/>
        <v>4.5778973438375183E-5</v>
      </c>
      <c r="EA31" s="265">
        <f t="shared" si="80"/>
        <v>0.31509846827133481</v>
      </c>
      <c r="EB31" s="273">
        <f>IFERROR(VLOOKUP(A31,'BARNET SCHS PUPIL PREMIUM Nos'!$E$31:$V$117,17,0),0)</f>
        <v>144</v>
      </c>
      <c r="EC31" s="258">
        <f>IFERROR(VLOOKUP(A31,CFR20212022_BenchMarkDataReport!$B$4:$CL$90,36,0),0)</f>
        <v>0</v>
      </c>
      <c r="ED31" s="258">
        <f>IFERROR(VLOOKUP(A31,CFR20212022_BenchMarkDataReport!$B$4:$CL$90,37,0),0)</f>
        <v>0</v>
      </c>
      <c r="EE31" s="258">
        <f>IFERROR(VLOOKUP(A31,CFR20212022_BenchMarkDataReport!$B$4:$CL$90,38,0),0)</f>
        <v>34177.5</v>
      </c>
      <c r="EF31" s="258">
        <f>IFERROR(VLOOKUP(A31,CFR20212022_BenchMarkDataReport!$B$4:$CL$90,39,0),0)</f>
        <v>63282.33</v>
      </c>
      <c r="EG31" s="227"/>
    </row>
    <row r="32" spans="1:137" s="5" customFormat="1">
      <c r="A32" s="147">
        <v>2023</v>
      </c>
      <c r="B32" s="298">
        <v>10063</v>
      </c>
      <c r="C32" s="302" t="s">
        <v>338</v>
      </c>
      <c r="D32" s="258">
        <f>IFERROR(VLOOKUP(A32,CFR20212022_BenchMarkDataReport!$B$4:$CL$90,19,0),0)</f>
        <v>2613600.92</v>
      </c>
      <c r="E32" s="258">
        <f>IFERROR(VLOOKUP(A32,CFR20212022_BenchMarkDataReport!$B$4:$CL$90,20,0),0)</f>
        <v>0</v>
      </c>
      <c r="F32" s="258">
        <f>IFERROR(VLOOKUP(A32,CFR20212022_BenchMarkDataReport!$B$4:$CL$90,21,0),0)</f>
        <v>137386.9</v>
      </c>
      <c r="G32" s="258">
        <f>IFERROR(VLOOKUP(A32,CFR20212022_BenchMarkDataReport!$B$4:$CL$90,22,0),0)</f>
        <v>0</v>
      </c>
      <c r="H32" s="258">
        <f>IFERROR(VLOOKUP(A32,CFR20212022_BenchMarkDataReport!$B$4:$CL$90,23,0),0)</f>
        <v>266292.53999999998</v>
      </c>
      <c r="I32" s="258">
        <f>IFERROR(VLOOKUP(A32,CFR20212022_BenchMarkDataReport!$B$4:$CL$90,24,0),0)</f>
        <v>48998.46</v>
      </c>
      <c r="J32" s="258">
        <f>IFERROR(VLOOKUP(A32,CFR20212022_BenchMarkDataReport!$B$4:$CL$90,25,0),0)</f>
        <v>57311.59</v>
      </c>
      <c r="K32" s="258">
        <f>IFERROR(VLOOKUP(A32,CFR20212022_BenchMarkDataReport!$B$4:$CL$90,26,0),0)</f>
        <v>180.81</v>
      </c>
      <c r="L32" s="258">
        <f>IFERROR(VLOOKUP(A32,CFR20212022_BenchMarkDataReport!$B$4:$CL$90,27,0),0)</f>
        <v>6031.42</v>
      </c>
      <c r="M32" s="258">
        <f>IFERROR(VLOOKUP(A32,CFR20212022_BenchMarkDataReport!$B$4:$CL$90,28,0),0)</f>
        <v>24709.32</v>
      </c>
      <c r="N32" s="258">
        <f>IFERROR(VLOOKUP(A32,CFR20212022_BenchMarkDataReport!$B$4:$CL$90,29,0),0)</f>
        <v>0</v>
      </c>
      <c r="O32" s="258">
        <f>IFERROR(VLOOKUP(A32,CFR20212022_BenchMarkDataReport!$B$4:$CL$90,30,0),0)</f>
        <v>0</v>
      </c>
      <c r="P32" s="258">
        <f>IFERROR(VLOOKUP(A32,CFR20212022_BenchMarkDataReport!$B$4:$CL$90,31,0),0)</f>
        <v>12655.2</v>
      </c>
      <c r="Q32" s="258">
        <f>IFERROR(VLOOKUP(A32,CFR20212022_BenchMarkDataReport!$B$4:$CL$90,32,0),0)</f>
        <v>1378.15</v>
      </c>
      <c r="R32" s="258">
        <f>IFERROR(VLOOKUP(A32,CFR20212022_BenchMarkDataReport!$B$4:$CL$90,33,0),0)</f>
        <v>0</v>
      </c>
      <c r="S32" s="258">
        <f>IFERROR(VLOOKUP(A32,CFR20212022_BenchMarkDataReport!$B$4:$CL$90,34,0),0)</f>
        <v>0</v>
      </c>
      <c r="T32" s="258">
        <f>IFERROR(VLOOKUP(A32,CFR20212022_BenchMarkDataReport!$B$4:$CL$90,35,0),0)</f>
        <v>0</v>
      </c>
      <c r="U32" s="258">
        <f t="shared" si="0"/>
        <v>101719.09</v>
      </c>
      <c r="V32" s="258">
        <f>IFERROR(VLOOKUP(A32,CFR20212022_BenchMarkDataReport!$B$4:$CL$90,40,0),0)</f>
        <v>1305618.43</v>
      </c>
      <c r="W32" s="258">
        <f>IFERROR(VLOOKUP(A32,CFR20212022_BenchMarkDataReport!$B$4:$CL$90,41,0),0)</f>
        <v>0</v>
      </c>
      <c r="X32" s="258">
        <f>IFERROR(VLOOKUP(A32,CFR20212022_BenchMarkDataReport!$B$4:$CL$90,42,0),0)</f>
        <v>765701.9</v>
      </c>
      <c r="Y32" s="258">
        <f>IFERROR(VLOOKUP(A32,CFR20212022_BenchMarkDataReport!$B$4:$CL$90,43,0),0)</f>
        <v>30734.94</v>
      </c>
      <c r="Z32" s="258">
        <f>IFERROR(VLOOKUP(A32,CFR20212022_BenchMarkDataReport!$B$4:$CL$90,44,0),0)</f>
        <v>211816.88</v>
      </c>
      <c r="AA32" s="258">
        <f>IFERROR(VLOOKUP(A32,CFR20212022_BenchMarkDataReport!$B$4:$CL$90,45,0),0)</f>
        <v>0</v>
      </c>
      <c r="AB32" s="258">
        <f>IFERROR(VLOOKUP(A32,CFR20212022_BenchMarkDataReport!$B$4:$CL$90,46,0),0)</f>
        <v>43763.81</v>
      </c>
      <c r="AC32" s="258">
        <f>IFERROR(VLOOKUP(A32,CFR20212022_BenchMarkDataReport!$B$4:$CL$90,47,0),0)</f>
        <v>59496.82</v>
      </c>
      <c r="AD32" s="258">
        <f>IFERROR(VLOOKUP(A32,CFR20212022_BenchMarkDataReport!$B$4:$CL$90,48,0),0)</f>
        <v>13700.41</v>
      </c>
      <c r="AE32" s="258">
        <f>IFERROR(VLOOKUP(A32,CFR20212022_BenchMarkDataReport!$B$4:$CL$90,49,0),0)</f>
        <v>823.28</v>
      </c>
      <c r="AF32" s="258">
        <f>IFERROR(VLOOKUP(A32,CFR20212022_BenchMarkDataReport!$B$4:$CL$90,50,0),0)</f>
        <v>0</v>
      </c>
      <c r="AG32" s="258">
        <f>IFERROR(VLOOKUP(A32,CFR20212022_BenchMarkDataReport!$B$4:$CL$90,51,0),0)</f>
        <v>55486.27</v>
      </c>
      <c r="AH32" s="258">
        <f>IFERROR(VLOOKUP(A32,CFR20212022_BenchMarkDataReport!$B$4:$CL$90,52,0),0)</f>
        <v>8410</v>
      </c>
      <c r="AI32" s="258">
        <f>IFERROR(VLOOKUP(A32,CFR20212022_BenchMarkDataReport!$B$4:$CL$90,53,0),0)</f>
        <v>59593.33</v>
      </c>
      <c r="AJ32" s="258">
        <f>IFERROR(VLOOKUP(A32,CFR20212022_BenchMarkDataReport!$B$4:$CL$90,54,0),0)</f>
        <v>11379.76</v>
      </c>
      <c r="AK32" s="258">
        <f>IFERROR(VLOOKUP(A32,CFR20212022_BenchMarkDataReport!$B$4:$CL$90,55,0),0)</f>
        <v>34208.959999999999</v>
      </c>
      <c r="AL32" s="258">
        <f>IFERROR(VLOOKUP(A32,CFR20212022_BenchMarkDataReport!$B$4:$CL$90,56,0),0)</f>
        <v>23952</v>
      </c>
      <c r="AM32" s="258">
        <f>IFERROR(VLOOKUP(A32,CFR20212022_BenchMarkDataReport!$B$4:$CL$90,57,0),0)</f>
        <v>6584.04</v>
      </c>
      <c r="AN32" s="258">
        <f>IFERROR(VLOOKUP(A32,CFR20212022_BenchMarkDataReport!$B$4:$CL$90,58,0),0)</f>
        <v>84658.61</v>
      </c>
      <c r="AO32" s="258">
        <f>IFERROR(VLOOKUP(A32,CFR20212022_BenchMarkDataReport!$B$4:$CL$90,59,0),0)</f>
        <v>24285.11</v>
      </c>
      <c r="AP32" s="258">
        <f>IFERROR(VLOOKUP(A32,CFR20212022_BenchMarkDataReport!$B$4:$CL$90,60,0),0)</f>
        <v>0</v>
      </c>
      <c r="AQ32" s="258">
        <f>IFERROR(VLOOKUP(A32,CFR20212022_BenchMarkDataReport!$B$4:$CL$90,61,0),0)</f>
        <v>16043.29</v>
      </c>
      <c r="AR32" s="258">
        <f>IFERROR(VLOOKUP(A32,CFR20212022_BenchMarkDataReport!$B$4:$CL$90,62,0),0)</f>
        <v>14010.74</v>
      </c>
      <c r="AS32" s="258">
        <f>IFERROR(VLOOKUP(A32,CFR20212022_BenchMarkDataReport!$B$4:$CL$90,63,0),0)</f>
        <v>7368.25</v>
      </c>
      <c r="AT32" s="258">
        <f>IFERROR(VLOOKUP(A32,CFR20212022_BenchMarkDataReport!$B$4:$CL$90,64,0),0)</f>
        <v>133758.88</v>
      </c>
      <c r="AU32" s="258">
        <f>IFERROR(VLOOKUP(A32,CFR20212022_BenchMarkDataReport!$B$4:$CL$90,65,0),0)</f>
        <v>148717.69</v>
      </c>
      <c r="AV32" s="258">
        <f>IFERROR(VLOOKUP(A32,CFR20212022_BenchMarkDataReport!$B$4:$CL$90,66,0),0)</f>
        <v>34940.800000000003</v>
      </c>
      <c r="AW32" s="258">
        <f>IFERROR(VLOOKUP(A32,CFR20212022_BenchMarkDataReport!$B$4:$CL$90,67,0),0)</f>
        <v>41461.660000000003</v>
      </c>
      <c r="AX32" s="258">
        <f>IFERROR(VLOOKUP(A32,CFR20212022_BenchMarkDataReport!$B$4:$CL$90,68,0),0)</f>
        <v>0</v>
      </c>
      <c r="AY32" s="258">
        <f>IFERROR(VLOOKUP(A32,CFR20212022_BenchMarkDataReport!$B$4:$CL$90,69,0),0)</f>
        <v>0</v>
      </c>
      <c r="AZ32" s="258">
        <f>IFERROR(VLOOKUP(A32,CFR20212022_BenchMarkDataReport!$B$4:$CL$90,70,0),0)</f>
        <v>0</v>
      </c>
      <c r="BA32" s="258">
        <f>IFERROR(VLOOKUP(A32,CFR20212022_BenchMarkDataReport!$B$4:$CL$90,71,0),0)</f>
        <v>0</v>
      </c>
      <c r="BB32" s="258">
        <f>IFERROR(VLOOKUP(A32,CFR20212022_BenchMarkDataReport!$B$4:$CL$90,72,0),0)</f>
        <v>0</v>
      </c>
      <c r="BC32" s="259">
        <f t="shared" si="10"/>
        <v>3270264.3999999994</v>
      </c>
      <c r="BD32" s="260">
        <f t="shared" si="11"/>
        <v>3136515.8599999994</v>
      </c>
      <c r="BE32" s="300">
        <f t="shared" si="12"/>
        <v>133748.54000000004</v>
      </c>
      <c r="BF32" s="258">
        <f>IFERROR(VLOOKUP(A32,CFR20212022_BenchMarkDataReport!$B$4:$CL$90,16,0),0)</f>
        <v>-46979.040000000001</v>
      </c>
      <c r="BG32" s="300">
        <f t="shared" si="13"/>
        <v>86769.500000000029</v>
      </c>
      <c r="BH32" s="261">
        <f>IFERROR(VLOOKUP(A32,'Pupil Nos BenchmarkData 21-22'!$A$6:$E$94,5,0),0)</f>
        <v>471</v>
      </c>
      <c r="BI32" s="260">
        <f t="shared" si="1"/>
        <v>2750987.82</v>
      </c>
      <c r="BJ32" s="227" t="s">
        <v>183</v>
      </c>
      <c r="BK32" s="262">
        <f t="shared" si="14"/>
        <v>0.79920171592241906</v>
      </c>
      <c r="BL32" s="263">
        <f t="shared" si="15"/>
        <v>5549.0465392781316</v>
      </c>
      <c r="BM32" s="264">
        <f t="shared" si="16"/>
        <v>0</v>
      </c>
      <c r="BN32" s="265">
        <f t="shared" si="17"/>
        <v>0</v>
      </c>
      <c r="BO32" s="262">
        <f t="shared" si="18"/>
        <v>4.2010945659317338E-2</v>
      </c>
      <c r="BP32" s="263">
        <f t="shared" si="19"/>
        <v>291.69193205944799</v>
      </c>
      <c r="BQ32" s="264">
        <f t="shared" si="20"/>
        <v>0</v>
      </c>
      <c r="BR32" s="265">
        <f t="shared" si="21"/>
        <v>0</v>
      </c>
      <c r="BS32" s="262">
        <f t="shared" si="22"/>
        <v>8.142844352279284E-2</v>
      </c>
      <c r="BT32" s="263">
        <f t="shared" si="23"/>
        <v>565.37694267515917</v>
      </c>
      <c r="BU32" s="264">
        <f t="shared" si="24"/>
        <v>1.4983027060441965E-2</v>
      </c>
      <c r="BV32" s="265">
        <f t="shared" si="25"/>
        <v>104.03070063694267</v>
      </c>
      <c r="BW32" s="262">
        <f t="shared" si="26"/>
        <v>1.7525063111105025E-2</v>
      </c>
      <c r="BX32" s="263">
        <f t="shared" si="27"/>
        <v>121.68065817409766</v>
      </c>
      <c r="BY32" s="264">
        <f t="shared" si="28"/>
        <v>1.8996109305412742E-3</v>
      </c>
      <c r="BZ32" s="266">
        <f t="shared" si="29"/>
        <v>13.189447983014864</v>
      </c>
      <c r="CA32" s="267">
        <f t="shared" si="30"/>
        <v>3.8697788472393862E-3</v>
      </c>
      <c r="CB32" s="268">
        <f t="shared" si="31"/>
        <v>26.868789808917199</v>
      </c>
      <c r="CC32" s="264">
        <f t="shared" si="32"/>
        <v>4.2141852505870789E-4</v>
      </c>
      <c r="CD32" s="265">
        <f t="shared" si="33"/>
        <v>2.9260084925690024</v>
      </c>
      <c r="CE32" s="269">
        <f t="shared" si="34"/>
        <v>0.52865959980876975</v>
      </c>
      <c r="CF32" s="267">
        <f t="shared" si="35"/>
        <v>0.44471514902587084</v>
      </c>
      <c r="CG32" s="267">
        <f t="shared" si="36"/>
        <v>0.46367886690679772</v>
      </c>
      <c r="CH32" s="268">
        <f t="shared" si="37"/>
        <v>3087.7624628450103</v>
      </c>
      <c r="CI32" s="264">
        <f t="shared" si="38"/>
        <v>0.2783370738442601</v>
      </c>
      <c r="CJ32" s="270">
        <f t="shared" si="39"/>
        <v>0.23414067070540234</v>
      </c>
      <c r="CK32" s="270">
        <f t="shared" si="40"/>
        <v>0.24412498905712537</v>
      </c>
      <c r="CL32" s="271">
        <f t="shared" si="41"/>
        <v>1625.6940552016986</v>
      </c>
      <c r="CM32" s="269">
        <f t="shared" si="42"/>
        <v>1.1172328636482294E-2</v>
      </c>
      <c r="CN32" s="267">
        <f t="shared" si="43"/>
        <v>9.3983043083611228E-3</v>
      </c>
      <c r="CO32" s="267">
        <f t="shared" si="44"/>
        <v>9.7990704883602932E-3</v>
      </c>
      <c r="CP32" s="268">
        <f t="shared" si="45"/>
        <v>65.254649681528662</v>
      </c>
      <c r="CQ32" s="264">
        <f t="shared" si="46"/>
        <v>7.6996662238948049E-2</v>
      </c>
      <c r="CR32" s="270">
        <f t="shared" si="47"/>
        <v>6.477056717493547E-2</v>
      </c>
      <c r="CS32" s="270">
        <f t="shared" si="48"/>
        <v>6.7532539114914608E-2</v>
      </c>
      <c r="CT32" s="265">
        <f t="shared" si="49"/>
        <v>449.71736730360936</v>
      </c>
      <c r="CU32" s="269">
        <f t="shared" si="50"/>
        <v>0.85701432149561463</v>
      </c>
      <c r="CV32" s="267">
        <f t="shared" si="51"/>
        <v>0.72093129839899195</v>
      </c>
      <c r="CW32" s="267">
        <f t="shared" si="52"/>
        <v>0.75167353370245682</v>
      </c>
      <c r="CX32" s="268">
        <f t="shared" si="53"/>
        <v>5005.5965180467092</v>
      </c>
      <c r="CY32" s="264">
        <f t="shared" si="54"/>
        <v>2.0169580394579865E-2</v>
      </c>
      <c r="CZ32" s="270">
        <f t="shared" si="55"/>
        <v>1.7690415887136629E-2</v>
      </c>
      <c r="DA32" s="265">
        <f t="shared" si="56"/>
        <v>117.8052441613588</v>
      </c>
      <c r="DB32" s="269">
        <f t="shared" si="57"/>
        <v>3.6281531826846884E-3</v>
      </c>
      <c r="DC32" s="268">
        <f t="shared" si="58"/>
        <v>24.160849256900214</v>
      </c>
      <c r="DD32" s="264">
        <f t="shared" si="59"/>
        <v>1.2435155020061121E-2</v>
      </c>
      <c r="DE32" s="270">
        <f t="shared" si="60"/>
        <v>1.090667528140604E-2</v>
      </c>
      <c r="DF32" s="265">
        <f t="shared" si="61"/>
        <v>72.630488322717625</v>
      </c>
      <c r="DG32" s="269">
        <f t="shared" si="62"/>
        <v>2.3933366597021139E-3</v>
      </c>
      <c r="DH32" s="267">
        <f t="shared" si="63"/>
        <v>2.0991572476856536E-3</v>
      </c>
      <c r="DI32" s="272">
        <f t="shared" si="64"/>
        <v>13.978853503184713</v>
      </c>
      <c r="DJ32" s="264">
        <f t="shared" si="65"/>
        <v>3.0773894884056595E-2</v>
      </c>
      <c r="DK32" s="270">
        <f t="shared" si="66"/>
        <v>2.588739002265383E-2</v>
      </c>
      <c r="DL32" s="270">
        <f t="shared" si="67"/>
        <v>2.6991290265626144E-2</v>
      </c>
      <c r="DM32" s="265">
        <f t="shared" si="68"/>
        <v>179.74227176220808</v>
      </c>
      <c r="DN32" s="269">
        <f t="shared" si="69"/>
        <v>5.831828801045001E-3</v>
      </c>
      <c r="DO32" s="267">
        <f t="shared" si="70"/>
        <v>5.115003626986284E-3</v>
      </c>
      <c r="DP32" s="268">
        <f t="shared" si="71"/>
        <v>34.062186836518052</v>
      </c>
      <c r="DQ32" s="264">
        <f t="shared" si="72"/>
        <v>1.27011830972047E-2</v>
      </c>
      <c r="DR32" s="270">
        <f t="shared" si="73"/>
        <v>1.1140004246622879E-2</v>
      </c>
      <c r="DS32" s="265">
        <f t="shared" si="74"/>
        <v>74.184288747346073</v>
      </c>
      <c r="DT32" s="269">
        <f t="shared" si="75"/>
        <v>4.2645689028972429E-2</v>
      </c>
      <c r="DU32" s="268">
        <f t="shared" si="76"/>
        <v>283.98912951167728</v>
      </c>
      <c r="DV32" s="264">
        <f t="shared" si="2"/>
        <v>1.8999849724974774E-2</v>
      </c>
      <c r="DW32" s="265">
        <f t="shared" si="3"/>
        <v>126.52511677282378</v>
      </c>
      <c r="DX32" s="264">
        <f t="shared" si="77"/>
        <v>7.0701876099182445E-5</v>
      </c>
      <c r="DY32" s="270">
        <f t="shared" si="78"/>
        <v>5.947531337221542E-5</v>
      </c>
      <c r="DZ32" s="270">
        <f t="shared" si="79"/>
        <v>6.2011483021801145E-5</v>
      </c>
      <c r="EA32" s="265">
        <f t="shared" si="80"/>
        <v>0.41295116772823781</v>
      </c>
      <c r="EB32" s="273">
        <f>IFERROR(VLOOKUP(A32,'BARNET SCHS PUPIL PREMIUM Nos'!$E$31:$V$117,17,0),0)</f>
        <v>194.5</v>
      </c>
      <c r="EC32" s="258">
        <f>IFERROR(VLOOKUP(A32,CFR20212022_BenchMarkDataReport!$B$4:$CL$90,36,0),0)</f>
        <v>0</v>
      </c>
      <c r="ED32" s="258">
        <f>IFERROR(VLOOKUP(A32,CFR20212022_BenchMarkDataReport!$B$4:$CL$90,37,0),0)</f>
        <v>7123.25</v>
      </c>
      <c r="EE32" s="258">
        <f>IFERROR(VLOOKUP(A32,CFR20212022_BenchMarkDataReport!$B$4:$CL$90,38,0),0)</f>
        <v>30330.13</v>
      </c>
      <c r="EF32" s="258">
        <f>IFERROR(VLOOKUP(A32,CFR20212022_BenchMarkDataReport!$B$4:$CL$90,39,0),0)</f>
        <v>64265.71</v>
      </c>
      <c r="EG32" s="227"/>
    </row>
    <row r="33" spans="1:137" s="5" customFormat="1">
      <c r="A33" s="147">
        <v>2024</v>
      </c>
      <c r="B33" s="298">
        <v>10064</v>
      </c>
      <c r="C33" s="147" t="s">
        <v>58</v>
      </c>
      <c r="D33" s="258">
        <f>IFERROR(VLOOKUP(A33,CFR20212022_BenchMarkDataReport!$B$4:$CL$90,19,0),0)</f>
        <v>1301691.42</v>
      </c>
      <c r="E33" s="258">
        <f>IFERROR(VLOOKUP(A33,CFR20212022_BenchMarkDataReport!$B$4:$CL$90,20,0),0)</f>
        <v>0</v>
      </c>
      <c r="F33" s="258">
        <f>IFERROR(VLOOKUP(A33,CFR20212022_BenchMarkDataReport!$B$4:$CL$90,21,0),0)</f>
        <v>62796.87</v>
      </c>
      <c r="G33" s="258">
        <f>IFERROR(VLOOKUP(A33,CFR20212022_BenchMarkDataReport!$B$4:$CL$90,22,0),0)</f>
        <v>0</v>
      </c>
      <c r="H33" s="258">
        <f>IFERROR(VLOOKUP(A33,CFR20212022_BenchMarkDataReport!$B$4:$CL$90,23,0),0)</f>
        <v>91787.24</v>
      </c>
      <c r="I33" s="258">
        <f>IFERROR(VLOOKUP(A33,CFR20212022_BenchMarkDataReport!$B$4:$CL$90,24,0),0)</f>
        <v>46635</v>
      </c>
      <c r="J33" s="258">
        <f>IFERROR(VLOOKUP(A33,CFR20212022_BenchMarkDataReport!$B$4:$CL$90,25,0),0)</f>
        <v>12487.5</v>
      </c>
      <c r="K33" s="258">
        <f>IFERROR(VLOOKUP(A33,CFR20212022_BenchMarkDataReport!$B$4:$CL$90,26,0),0)</f>
        <v>10855.97</v>
      </c>
      <c r="L33" s="258">
        <f>IFERROR(VLOOKUP(A33,CFR20212022_BenchMarkDataReport!$B$4:$CL$90,27,0),0)</f>
        <v>89458.85</v>
      </c>
      <c r="M33" s="258">
        <f>IFERROR(VLOOKUP(A33,CFR20212022_BenchMarkDataReport!$B$4:$CL$90,28,0),0)</f>
        <v>12362.57</v>
      </c>
      <c r="N33" s="258">
        <f>IFERROR(VLOOKUP(A33,CFR20212022_BenchMarkDataReport!$B$4:$CL$90,29,0),0)</f>
        <v>0</v>
      </c>
      <c r="O33" s="258">
        <f>IFERROR(VLOOKUP(A33,CFR20212022_BenchMarkDataReport!$B$4:$CL$90,30,0),0)</f>
        <v>0</v>
      </c>
      <c r="P33" s="258">
        <f>IFERROR(VLOOKUP(A33,CFR20212022_BenchMarkDataReport!$B$4:$CL$90,31,0),0)</f>
        <v>10646.6</v>
      </c>
      <c r="Q33" s="258">
        <f>IFERROR(VLOOKUP(A33,CFR20212022_BenchMarkDataReport!$B$4:$CL$90,32,0),0)</f>
        <v>6599.79</v>
      </c>
      <c r="R33" s="258">
        <f>IFERROR(VLOOKUP(A33,CFR20212022_BenchMarkDataReport!$B$4:$CL$90,33,0),0)</f>
        <v>0</v>
      </c>
      <c r="S33" s="258">
        <f>IFERROR(VLOOKUP(A33,CFR20212022_BenchMarkDataReport!$B$4:$CL$90,34,0),0)</f>
        <v>180008</v>
      </c>
      <c r="T33" s="258">
        <f>IFERROR(VLOOKUP(A33,CFR20212022_BenchMarkDataReport!$B$4:$CL$90,35,0),0)</f>
        <v>1895</v>
      </c>
      <c r="U33" s="258">
        <f t="shared" si="0"/>
        <v>51976</v>
      </c>
      <c r="V33" s="258">
        <f>IFERROR(VLOOKUP(A33,CFR20212022_BenchMarkDataReport!$B$4:$CL$90,40,0),0)</f>
        <v>703686.9</v>
      </c>
      <c r="W33" s="258">
        <f>IFERROR(VLOOKUP(A33,CFR20212022_BenchMarkDataReport!$B$4:$CL$90,41,0),0)</f>
        <v>0</v>
      </c>
      <c r="X33" s="258">
        <f>IFERROR(VLOOKUP(A33,CFR20212022_BenchMarkDataReport!$B$4:$CL$90,42,0),0)</f>
        <v>307544.18</v>
      </c>
      <c r="Y33" s="258">
        <f>IFERROR(VLOOKUP(A33,CFR20212022_BenchMarkDataReport!$B$4:$CL$90,43,0),0)</f>
        <v>19667.21</v>
      </c>
      <c r="Z33" s="258">
        <f>IFERROR(VLOOKUP(A33,CFR20212022_BenchMarkDataReport!$B$4:$CL$90,44,0),0)</f>
        <v>73125.009999999995</v>
      </c>
      <c r="AA33" s="258">
        <f>IFERROR(VLOOKUP(A33,CFR20212022_BenchMarkDataReport!$B$4:$CL$90,45,0),0)</f>
        <v>0</v>
      </c>
      <c r="AB33" s="258">
        <f>IFERROR(VLOOKUP(A33,CFR20212022_BenchMarkDataReport!$B$4:$CL$90,46,0),0)</f>
        <v>273542.37</v>
      </c>
      <c r="AC33" s="258">
        <f>IFERROR(VLOOKUP(A33,CFR20212022_BenchMarkDataReport!$B$4:$CL$90,47,0),0)</f>
        <v>11722.65</v>
      </c>
      <c r="AD33" s="258">
        <f>IFERROR(VLOOKUP(A33,CFR20212022_BenchMarkDataReport!$B$4:$CL$90,48,0),0)</f>
        <v>4201.93</v>
      </c>
      <c r="AE33" s="258">
        <f>IFERROR(VLOOKUP(A33,CFR20212022_BenchMarkDataReport!$B$4:$CL$90,49,0),0)</f>
        <v>323.08</v>
      </c>
      <c r="AF33" s="258">
        <f>IFERROR(VLOOKUP(A33,CFR20212022_BenchMarkDataReport!$B$4:$CL$90,50,0),0)</f>
        <v>0</v>
      </c>
      <c r="AG33" s="258">
        <f>IFERROR(VLOOKUP(A33,CFR20212022_BenchMarkDataReport!$B$4:$CL$90,51,0),0)</f>
        <v>34830.800000000003</v>
      </c>
      <c r="AH33" s="258">
        <f>IFERROR(VLOOKUP(A33,CFR20212022_BenchMarkDataReport!$B$4:$CL$90,52,0),0)</f>
        <v>2984.02</v>
      </c>
      <c r="AI33" s="258">
        <f>IFERROR(VLOOKUP(A33,CFR20212022_BenchMarkDataReport!$B$4:$CL$90,53,0),0)</f>
        <v>36028.410000000003</v>
      </c>
      <c r="AJ33" s="258">
        <f>IFERROR(VLOOKUP(A33,CFR20212022_BenchMarkDataReport!$B$4:$CL$90,54,0),0)</f>
        <v>-1725.86</v>
      </c>
      <c r="AK33" s="258">
        <f>IFERROR(VLOOKUP(A33,CFR20212022_BenchMarkDataReport!$B$4:$CL$90,55,0),0)</f>
        <v>26711.82</v>
      </c>
      <c r="AL33" s="258">
        <f>IFERROR(VLOOKUP(A33,CFR20212022_BenchMarkDataReport!$B$4:$CL$90,56,0),0)</f>
        <v>48944</v>
      </c>
      <c r="AM33" s="258">
        <f>IFERROR(VLOOKUP(A33,CFR20212022_BenchMarkDataReport!$B$4:$CL$90,57,0),0)</f>
        <v>7245.96</v>
      </c>
      <c r="AN33" s="258">
        <f>IFERROR(VLOOKUP(A33,CFR20212022_BenchMarkDataReport!$B$4:$CL$90,58,0),0)</f>
        <v>31513.01</v>
      </c>
      <c r="AO33" s="258">
        <f>IFERROR(VLOOKUP(A33,CFR20212022_BenchMarkDataReport!$B$4:$CL$90,59,0),0)</f>
        <v>22148.16</v>
      </c>
      <c r="AP33" s="258">
        <f>IFERROR(VLOOKUP(A33,CFR20212022_BenchMarkDataReport!$B$4:$CL$90,60,0),0)</f>
        <v>0</v>
      </c>
      <c r="AQ33" s="258">
        <f>IFERROR(VLOOKUP(A33,CFR20212022_BenchMarkDataReport!$B$4:$CL$90,61,0),0)</f>
        <v>10849.87</v>
      </c>
      <c r="AR33" s="258">
        <f>IFERROR(VLOOKUP(A33,CFR20212022_BenchMarkDataReport!$B$4:$CL$90,62,0),0)</f>
        <v>6624.39</v>
      </c>
      <c r="AS33" s="258">
        <f>IFERROR(VLOOKUP(A33,CFR20212022_BenchMarkDataReport!$B$4:$CL$90,63,0),0)</f>
        <v>5546.88</v>
      </c>
      <c r="AT33" s="258">
        <f>IFERROR(VLOOKUP(A33,CFR20212022_BenchMarkDataReport!$B$4:$CL$90,64,0),0)</f>
        <v>59360.14</v>
      </c>
      <c r="AU33" s="258">
        <f>IFERROR(VLOOKUP(A33,CFR20212022_BenchMarkDataReport!$B$4:$CL$90,65,0),0)</f>
        <v>23052.6</v>
      </c>
      <c r="AV33" s="258">
        <f>IFERROR(VLOOKUP(A33,CFR20212022_BenchMarkDataReport!$B$4:$CL$90,66,0),0)</f>
        <v>74201.39</v>
      </c>
      <c r="AW33" s="258">
        <f>IFERROR(VLOOKUP(A33,CFR20212022_BenchMarkDataReport!$B$4:$CL$90,67,0),0)</f>
        <v>41393.4</v>
      </c>
      <c r="AX33" s="258">
        <f>IFERROR(VLOOKUP(A33,CFR20212022_BenchMarkDataReport!$B$4:$CL$90,68,0),0)</f>
        <v>0</v>
      </c>
      <c r="AY33" s="258">
        <f>IFERROR(VLOOKUP(A33,CFR20212022_BenchMarkDataReport!$B$4:$CL$90,69,0),0)</f>
        <v>0</v>
      </c>
      <c r="AZ33" s="258">
        <f>IFERROR(VLOOKUP(A33,CFR20212022_BenchMarkDataReport!$B$4:$CL$90,70,0),0)</f>
        <v>0</v>
      </c>
      <c r="BA33" s="258">
        <f>IFERROR(VLOOKUP(A33,CFR20212022_BenchMarkDataReport!$B$4:$CL$90,71,0),0)</f>
        <v>157622.79</v>
      </c>
      <c r="BB33" s="258">
        <f>IFERROR(VLOOKUP(A33,CFR20212022_BenchMarkDataReport!$B$4:$CL$90,72,0),0)</f>
        <v>24280.21</v>
      </c>
      <c r="BC33" s="259">
        <f t="shared" si="10"/>
        <v>1697297.8100000003</v>
      </c>
      <c r="BD33" s="260">
        <f t="shared" si="11"/>
        <v>1823522.3199999994</v>
      </c>
      <c r="BE33" s="300">
        <f t="shared" si="12"/>
        <v>-126224.50999999908</v>
      </c>
      <c r="BF33" s="258">
        <f>IFERROR(VLOOKUP(A33,CFR20212022_BenchMarkDataReport!$B$4:$CL$90,16,0),0)</f>
        <v>53993.01</v>
      </c>
      <c r="BG33" s="300">
        <f t="shared" si="13"/>
        <v>-72231.499999999069</v>
      </c>
      <c r="BH33" s="261">
        <f>IFERROR(VLOOKUP(A33,'Pupil Nos BenchmarkData 21-22'!$A$6:$E$94,5,0),0)</f>
        <v>239.5</v>
      </c>
      <c r="BI33" s="260">
        <f t="shared" si="1"/>
        <v>1364488.29</v>
      </c>
      <c r="BJ33" s="227" t="s">
        <v>183</v>
      </c>
      <c r="BK33" s="262">
        <f t="shared" si="14"/>
        <v>0.76691987247659243</v>
      </c>
      <c r="BL33" s="263">
        <f t="shared" si="15"/>
        <v>5435.0372442588723</v>
      </c>
      <c r="BM33" s="264">
        <f t="shared" si="16"/>
        <v>0</v>
      </c>
      <c r="BN33" s="265">
        <f t="shared" si="17"/>
        <v>0</v>
      </c>
      <c r="BO33" s="262">
        <f t="shared" si="18"/>
        <v>3.6998144715687811E-2</v>
      </c>
      <c r="BP33" s="263">
        <f t="shared" si="19"/>
        <v>262.19987473903967</v>
      </c>
      <c r="BQ33" s="264">
        <f t="shared" si="20"/>
        <v>0</v>
      </c>
      <c r="BR33" s="265">
        <f t="shared" si="21"/>
        <v>0</v>
      </c>
      <c r="BS33" s="262">
        <f t="shared" si="22"/>
        <v>5.4078453091269817E-2</v>
      </c>
      <c r="BT33" s="263">
        <f t="shared" si="23"/>
        <v>383.24526096033406</v>
      </c>
      <c r="BU33" s="264">
        <f t="shared" si="24"/>
        <v>2.7476026732161984E-2</v>
      </c>
      <c r="BV33" s="265">
        <f t="shared" si="25"/>
        <v>194.71816283924844</v>
      </c>
      <c r="BW33" s="262">
        <f t="shared" si="26"/>
        <v>7.3572828094322458E-3</v>
      </c>
      <c r="BX33" s="263">
        <f t="shared" si="27"/>
        <v>52.139874739039669</v>
      </c>
      <c r="BY33" s="264">
        <f t="shared" si="28"/>
        <v>5.9102662720103311E-2</v>
      </c>
      <c r="BZ33" s="266">
        <f t="shared" si="29"/>
        <v>418.85102296450941</v>
      </c>
      <c r="CA33" s="267">
        <f t="shared" si="30"/>
        <v>6.2726764491612694E-3</v>
      </c>
      <c r="CB33" s="268">
        <f t="shared" si="31"/>
        <v>44.453444676409184</v>
      </c>
      <c r="CC33" s="264">
        <f t="shared" si="32"/>
        <v>3.8884101311601874E-3</v>
      </c>
      <c r="CD33" s="265">
        <f t="shared" si="33"/>
        <v>27.556534446764093</v>
      </c>
      <c r="CE33" s="269">
        <f t="shared" si="34"/>
        <v>0.53260955431138213</v>
      </c>
      <c r="CF33" s="267">
        <f t="shared" si="35"/>
        <v>0.4281744168396705</v>
      </c>
      <c r="CG33" s="267">
        <f t="shared" si="36"/>
        <v>0.39853611443593423</v>
      </c>
      <c r="CH33" s="268">
        <f t="shared" si="37"/>
        <v>3034.4029227557412</v>
      </c>
      <c r="CI33" s="264">
        <f t="shared" si="38"/>
        <v>0.22539158617477031</v>
      </c>
      <c r="CJ33" s="270">
        <f t="shared" si="39"/>
        <v>0.18119635704944434</v>
      </c>
      <c r="CK33" s="270">
        <f t="shared" si="40"/>
        <v>0.16865391590051945</v>
      </c>
      <c r="CL33" s="271">
        <f t="shared" si="41"/>
        <v>1284.1093110647182</v>
      </c>
      <c r="CM33" s="269">
        <f t="shared" si="42"/>
        <v>1.4413615817838935E-2</v>
      </c>
      <c r="CN33" s="267">
        <f t="shared" si="43"/>
        <v>1.1587365448848364E-2</v>
      </c>
      <c r="CO33" s="267">
        <f t="shared" si="44"/>
        <v>1.0785286137874092E-2</v>
      </c>
      <c r="CP33" s="268">
        <f t="shared" si="45"/>
        <v>82.117787056367433</v>
      </c>
      <c r="CQ33" s="264">
        <f t="shared" si="46"/>
        <v>5.359152624167994E-2</v>
      </c>
      <c r="CR33" s="270">
        <f t="shared" si="47"/>
        <v>4.3083193514519398E-2</v>
      </c>
      <c r="CS33" s="270">
        <f t="shared" si="48"/>
        <v>4.0100967889441584E-2</v>
      </c>
      <c r="CT33" s="265">
        <f t="shared" si="49"/>
        <v>305.32363256784964</v>
      </c>
      <c r="CU33" s="269">
        <f t="shared" si="50"/>
        <v>1.0095840910441232</v>
      </c>
      <c r="CV33" s="267">
        <f t="shared" si="51"/>
        <v>0.81162284066106216</v>
      </c>
      <c r="CW33" s="267">
        <f t="shared" si="52"/>
        <v>0.75544217632608979</v>
      </c>
      <c r="CX33" s="268">
        <f t="shared" si="53"/>
        <v>5751.8399582463462</v>
      </c>
      <c r="CY33" s="264">
        <f t="shared" si="54"/>
        <v>2.5526639001057314E-2</v>
      </c>
      <c r="CZ33" s="270">
        <f t="shared" si="55"/>
        <v>1.9100835574088291E-2</v>
      </c>
      <c r="DA33" s="265">
        <f t="shared" si="56"/>
        <v>145.43131524008351</v>
      </c>
      <c r="DB33" s="269">
        <f t="shared" si="57"/>
        <v>-9.4644303558620579E-4</v>
      </c>
      <c r="DC33" s="268">
        <f t="shared" si="58"/>
        <v>-7.2060960334029227</v>
      </c>
      <c r="DD33" s="264">
        <f t="shared" si="59"/>
        <v>1.957643769885339E-2</v>
      </c>
      <c r="DE33" s="270">
        <f t="shared" si="60"/>
        <v>1.4648474387744269E-2</v>
      </c>
      <c r="DF33" s="265">
        <f t="shared" si="61"/>
        <v>111.53160751565761</v>
      </c>
      <c r="DG33" s="269">
        <f t="shared" si="62"/>
        <v>5.3103863573647813E-3</v>
      </c>
      <c r="DH33" s="267">
        <f t="shared" si="63"/>
        <v>3.9736064212254896E-3</v>
      </c>
      <c r="DI33" s="272">
        <f t="shared" si="64"/>
        <v>30.254530271398746</v>
      </c>
      <c r="DJ33" s="264">
        <f t="shared" si="65"/>
        <v>2.3095112087770278E-2</v>
      </c>
      <c r="DK33" s="270">
        <f t="shared" si="66"/>
        <v>1.856657671643375E-2</v>
      </c>
      <c r="DL33" s="270">
        <f t="shared" si="67"/>
        <v>1.7281395272419814E-2</v>
      </c>
      <c r="DM33" s="265">
        <f t="shared" si="68"/>
        <v>131.57832985386221</v>
      </c>
      <c r="DN33" s="269">
        <f t="shared" si="69"/>
        <v>7.9516036007901553E-3</v>
      </c>
      <c r="DO33" s="267">
        <f t="shared" si="70"/>
        <v>5.9499518492320972E-3</v>
      </c>
      <c r="DP33" s="268">
        <f t="shared" si="71"/>
        <v>45.302171189979127</v>
      </c>
      <c r="DQ33" s="264">
        <f t="shared" si="72"/>
        <v>5.4380378742568757E-2</v>
      </c>
      <c r="DR33" s="270">
        <f t="shared" si="73"/>
        <v>4.0691243088266681E-2</v>
      </c>
      <c r="DS33" s="265">
        <f t="shared" si="74"/>
        <v>309.81791231732774</v>
      </c>
      <c r="DT33" s="269">
        <f t="shared" si="75"/>
        <v>3.2552461436282293E-2</v>
      </c>
      <c r="DU33" s="268">
        <f t="shared" si="76"/>
        <v>247.8502713987474</v>
      </c>
      <c r="DV33" s="264">
        <f t="shared" si="2"/>
        <v>1.9757591999202958E-2</v>
      </c>
      <c r="DW33" s="265">
        <f t="shared" si="3"/>
        <v>150.43177453027141</v>
      </c>
      <c r="DX33" s="264">
        <f t="shared" si="77"/>
        <v>4.8736218908848238E-5</v>
      </c>
      <c r="DY33" s="270">
        <f t="shared" si="78"/>
        <v>3.9179924470650198E-5</v>
      </c>
      <c r="DZ33" s="270">
        <f t="shared" si="79"/>
        <v>3.6467883760260213E-5</v>
      </c>
      <c r="EA33" s="265">
        <f t="shared" si="80"/>
        <v>0.27766179540709812</v>
      </c>
      <c r="EB33" s="273">
        <f>IFERROR(VLOOKUP(A33,'BARNET SCHS PUPIL PREMIUM Nos'!$E$31:$V$117,17,0),0)</f>
        <v>66.5</v>
      </c>
      <c r="EC33" s="258">
        <f>IFERROR(VLOOKUP(A33,CFR20212022_BenchMarkDataReport!$B$4:$CL$90,36,0),0)</f>
        <v>0</v>
      </c>
      <c r="ED33" s="258">
        <f>IFERROR(VLOOKUP(A33,CFR20212022_BenchMarkDataReport!$B$4:$CL$90,37,0),0)</f>
        <v>0</v>
      </c>
      <c r="EE33" s="258">
        <f>IFERROR(VLOOKUP(A33,CFR20212022_BenchMarkDataReport!$B$4:$CL$90,38,0),0)</f>
        <v>12840</v>
      </c>
      <c r="EF33" s="258">
        <f>IFERROR(VLOOKUP(A33,CFR20212022_BenchMarkDataReport!$B$4:$CL$90,39,0),0)</f>
        <v>39136</v>
      </c>
      <c r="EG33" s="227"/>
    </row>
    <row r="34" spans="1:137" s="5" customFormat="1">
      <c r="A34" s="147">
        <v>2025</v>
      </c>
      <c r="B34" s="298">
        <v>10065</v>
      </c>
      <c r="C34" s="147" t="s">
        <v>59</v>
      </c>
      <c r="D34" s="258">
        <f>IFERROR(VLOOKUP(A34,CFR20212022_BenchMarkDataReport!$B$4:$CL$90,19,0),0)</f>
        <v>1366340.29</v>
      </c>
      <c r="E34" s="258">
        <f>IFERROR(VLOOKUP(A34,CFR20212022_BenchMarkDataReport!$B$4:$CL$90,20,0),0)</f>
        <v>0</v>
      </c>
      <c r="F34" s="258">
        <f>IFERROR(VLOOKUP(A34,CFR20212022_BenchMarkDataReport!$B$4:$CL$90,21,0),0)</f>
        <v>65925.179999999993</v>
      </c>
      <c r="G34" s="258">
        <f>IFERROR(VLOOKUP(A34,CFR20212022_BenchMarkDataReport!$B$4:$CL$90,22,0),0)</f>
        <v>0</v>
      </c>
      <c r="H34" s="258">
        <f>IFERROR(VLOOKUP(A34,CFR20212022_BenchMarkDataReport!$B$4:$CL$90,23,0),0)</f>
        <v>22394.97</v>
      </c>
      <c r="I34" s="258">
        <f>IFERROR(VLOOKUP(A34,CFR20212022_BenchMarkDataReport!$B$4:$CL$90,24,0),0)</f>
        <v>2457</v>
      </c>
      <c r="J34" s="258">
        <f>IFERROR(VLOOKUP(A34,CFR20212022_BenchMarkDataReport!$B$4:$CL$90,25,0),0)</f>
        <v>645</v>
      </c>
      <c r="K34" s="258">
        <f>IFERROR(VLOOKUP(A34,CFR20212022_BenchMarkDataReport!$B$4:$CL$90,26,0),0)</f>
        <v>36511.050000000003</v>
      </c>
      <c r="L34" s="258">
        <f>IFERROR(VLOOKUP(A34,CFR20212022_BenchMarkDataReport!$B$4:$CL$90,27,0),0)</f>
        <v>22787.95</v>
      </c>
      <c r="M34" s="258">
        <f>IFERROR(VLOOKUP(A34,CFR20212022_BenchMarkDataReport!$B$4:$CL$90,28,0),0)</f>
        <v>27765.71</v>
      </c>
      <c r="N34" s="258">
        <f>IFERROR(VLOOKUP(A34,CFR20212022_BenchMarkDataReport!$B$4:$CL$90,29,0),0)</f>
        <v>0</v>
      </c>
      <c r="O34" s="258">
        <f>IFERROR(VLOOKUP(A34,CFR20212022_BenchMarkDataReport!$B$4:$CL$90,30,0),0)</f>
        <v>0</v>
      </c>
      <c r="P34" s="258">
        <f>IFERROR(VLOOKUP(A34,CFR20212022_BenchMarkDataReport!$B$4:$CL$90,31,0),0)</f>
        <v>66255.899999999994</v>
      </c>
      <c r="Q34" s="258">
        <f>IFERROR(VLOOKUP(A34,CFR20212022_BenchMarkDataReport!$B$4:$CL$90,32,0),0)</f>
        <v>15300.86</v>
      </c>
      <c r="R34" s="258">
        <f>IFERROR(VLOOKUP(A34,CFR20212022_BenchMarkDataReport!$B$4:$CL$90,33,0),0)</f>
        <v>0</v>
      </c>
      <c r="S34" s="258">
        <f>IFERROR(VLOOKUP(A34,CFR20212022_BenchMarkDataReport!$B$4:$CL$90,34,0),0)</f>
        <v>0</v>
      </c>
      <c r="T34" s="258">
        <f>IFERROR(VLOOKUP(A34,CFR20212022_BenchMarkDataReport!$B$4:$CL$90,35,0),0)</f>
        <v>0</v>
      </c>
      <c r="U34" s="258">
        <f t="shared" si="0"/>
        <v>86766.44</v>
      </c>
      <c r="V34" s="258">
        <f>IFERROR(VLOOKUP(A34,CFR20212022_BenchMarkDataReport!$B$4:$CL$90,40,0),0)</f>
        <v>884683.9</v>
      </c>
      <c r="W34" s="258">
        <f>IFERROR(VLOOKUP(A34,CFR20212022_BenchMarkDataReport!$B$4:$CL$90,41,0),0)</f>
        <v>5732.19</v>
      </c>
      <c r="X34" s="258">
        <f>IFERROR(VLOOKUP(A34,CFR20212022_BenchMarkDataReport!$B$4:$CL$90,42,0),0)</f>
        <v>231508.65</v>
      </c>
      <c r="Y34" s="258">
        <f>IFERROR(VLOOKUP(A34,CFR20212022_BenchMarkDataReport!$B$4:$CL$90,43,0),0)</f>
        <v>75365.490000000005</v>
      </c>
      <c r="Z34" s="258">
        <f>IFERROR(VLOOKUP(A34,CFR20212022_BenchMarkDataReport!$B$4:$CL$90,44,0),0)</f>
        <v>63279.91</v>
      </c>
      <c r="AA34" s="258">
        <f>IFERROR(VLOOKUP(A34,CFR20212022_BenchMarkDataReport!$B$4:$CL$90,45,0),0)</f>
        <v>0</v>
      </c>
      <c r="AB34" s="258">
        <f>IFERROR(VLOOKUP(A34,CFR20212022_BenchMarkDataReport!$B$4:$CL$90,46,0),0)</f>
        <v>40264.14</v>
      </c>
      <c r="AC34" s="258">
        <f>IFERROR(VLOOKUP(A34,CFR20212022_BenchMarkDataReport!$B$4:$CL$90,47,0),0)</f>
        <v>448.3</v>
      </c>
      <c r="AD34" s="258">
        <f>IFERROR(VLOOKUP(A34,CFR20212022_BenchMarkDataReport!$B$4:$CL$90,48,0),0)</f>
        <v>2046.99</v>
      </c>
      <c r="AE34" s="258">
        <f>IFERROR(VLOOKUP(A34,CFR20212022_BenchMarkDataReport!$B$4:$CL$90,49,0),0)</f>
        <v>521.52</v>
      </c>
      <c r="AF34" s="258">
        <f>IFERROR(VLOOKUP(A34,CFR20212022_BenchMarkDataReport!$B$4:$CL$90,50,0),0)</f>
        <v>0</v>
      </c>
      <c r="AG34" s="258">
        <f>IFERROR(VLOOKUP(A34,CFR20212022_BenchMarkDataReport!$B$4:$CL$90,51,0),0)</f>
        <v>4063.31</v>
      </c>
      <c r="AH34" s="258">
        <f>IFERROR(VLOOKUP(A34,CFR20212022_BenchMarkDataReport!$B$4:$CL$90,52,0),0)</f>
        <v>0</v>
      </c>
      <c r="AI34" s="258">
        <f>IFERROR(VLOOKUP(A34,CFR20212022_BenchMarkDataReport!$B$4:$CL$90,53,0),0)</f>
        <v>0</v>
      </c>
      <c r="AJ34" s="258">
        <f>IFERROR(VLOOKUP(A34,CFR20212022_BenchMarkDataReport!$B$4:$CL$90,54,0),0)</f>
        <v>3582.43</v>
      </c>
      <c r="AK34" s="258">
        <f>IFERROR(VLOOKUP(A34,CFR20212022_BenchMarkDataReport!$B$4:$CL$90,55,0),0)</f>
        <v>28582.400000000001</v>
      </c>
      <c r="AL34" s="258">
        <f>IFERROR(VLOOKUP(A34,CFR20212022_BenchMarkDataReport!$B$4:$CL$90,56,0),0)</f>
        <v>34048</v>
      </c>
      <c r="AM34" s="258">
        <f>IFERROR(VLOOKUP(A34,CFR20212022_BenchMarkDataReport!$B$4:$CL$90,57,0),0)</f>
        <v>5257.97</v>
      </c>
      <c r="AN34" s="258">
        <f>IFERROR(VLOOKUP(A34,CFR20212022_BenchMarkDataReport!$B$4:$CL$90,58,0),0)</f>
        <v>97768.67</v>
      </c>
      <c r="AO34" s="258">
        <f>IFERROR(VLOOKUP(A34,CFR20212022_BenchMarkDataReport!$B$4:$CL$90,59,0),0)</f>
        <v>7769.87</v>
      </c>
      <c r="AP34" s="258">
        <f>IFERROR(VLOOKUP(A34,CFR20212022_BenchMarkDataReport!$B$4:$CL$90,60,0),0)</f>
        <v>0</v>
      </c>
      <c r="AQ34" s="258">
        <f>IFERROR(VLOOKUP(A34,CFR20212022_BenchMarkDataReport!$B$4:$CL$90,61,0),0)</f>
        <v>8872.33</v>
      </c>
      <c r="AR34" s="258">
        <f>IFERROR(VLOOKUP(A34,CFR20212022_BenchMarkDataReport!$B$4:$CL$90,62,0),0)</f>
        <v>8843.66</v>
      </c>
      <c r="AS34" s="258">
        <f>IFERROR(VLOOKUP(A34,CFR20212022_BenchMarkDataReport!$B$4:$CL$90,63,0),0)</f>
        <v>7653.92</v>
      </c>
      <c r="AT34" s="258">
        <f>IFERROR(VLOOKUP(A34,CFR20212022_BenchMarkDataReport!$B$4:$CL$90,64,0),0)</f>
        <v>74740.55</v>
      </c>
      <c r="AU34" s="258">
        <f>IFERROR(VLOOKUP(A34,CFR20212022_BenchMarkDataReport!$B$4:$CL$90,65,0),0)</f>
        <v>16215.71</v>
      </c>
      <c r="AV34" s="258">
        <f>IFERROR(VLOOKUP(A34,CFR20212022_BenchMarkDataReport!$B$4:$CL$90,66,0),0)</f>
        <v>66651.289999999994</v>
      </c>
      <c r="AW34" s="258">
        <f>IFERROR(VLOOKUP(A34,CFR20212022_BenchMarkDataReport!$B$4:$CL$90,67,0),0)</f>
        <v>29575.33</v>
      </c>
      <c r="AX34" s="258">
        <f>IFERROR(VLOOKUP(A34,CFR20212022_BenchMarkDataReport!$B$4:$CL$90,68,0),0)</f>
        <v>0</v>
      </c>
      <c r="AY34" s="258">
        <f>IFERROR(VLOOKUP(A34,CFR20212022_BenchMarkDataReport!$B$4:$CL$90,69,0),0)</f>
        <v>0</v>
      </c>
      <c r="AZ34" s="258">
        <f>IFERROR(VLOOKUP(A34,CFR20212022_BenchMarkDataReport!$B$4:$CL$90,70,0),0)</f>
        <v>0</v>
      </c>
      <c r="BA34" s="258">
        <f>IFERROR(VLOOKUP(A34,CFR20212022_BenchMarkDataReport!$B$4:$CL$90,71,0),0)</f>
        <v>0</v>
      </c>
      <c r="BB34" s="258">
        <f>IFERROR(VLOOKUP(A34,CFR20212022_BenchMarkDataReport!$B$4:$CL$90,72,0),0)</f>
        <v>0</v>
      </c>
      <c r="BC34" s="259">
        <f t="shared" si="10"/>
        <v>1713150.3499999999</v>
      </c>
      <c r="BD34" s="260">
        <f t="shared" si="11"/>
        <v>1697476.5299999998</v>
      </c>
      <c r="BE34" s="300">
        <f t="shared" si="12"/>
        <v>15673.820000000065</v>
      </c>
      <c r="BF34" s="258">
        <f>IFERROR(VLOOKUP(A34,CFR20212022_BenchMarkDataReport!$B$4:$CL$90,16,0),0)</f>
        <v>127159.67</v>
      </c>
      <c r="BG34" s="300">
        <f t="shared" si="13"/>
        <v>142833.49000000005</v>
      </c>
      <c r="BH34" s="261">
        <f>IFERROR(VLOOKUP(A34,'Pupil Nos BenchmarkData 21-22'!$A$6:$E$94,5,0),0)</f>
        <v>317</v>
      </c>
      <c r="BI34" s="260">
        <f t="shared" si="1"/>
        <v>1432265.47</v>
      </c>
      <c r="BJ34" s="227" t="s">
        <v>183</v>
      </c>
      <c r="BK34" s="262">
        <f t="shared" si="14"/>
        <v>0.79756005653561002</v>
      </c>
      <c r="BL34" s="263">
        <f t="shared" si="15"/>
        <v>4310.2217350157725</v>
      </c>
      <c r="BM34" s="264">
        <f t="shared" si="16"/>
        <v>0</v>
      </c>
      <c r="BN34" s="265">
        <f t="shared" si="17"/>
        <v>0</v>
      </c>
      <c r="BO34" s="262">
        <f t="shared" si="18"/>
        <v>3.8481841363193839E-2</v>
      </c>
      <c r="BP34" s="263">
        <f t="shared" si="19"/>
        <v>207.9658675078864</v>
      </c>
      <c r="BQ34" s="264">
        <f t="shared" si="20"/>
        <v>0</v>
      </c>
      <c r="BR34" s="265">
        <f t="shared" si="21"/>
        <v>0</v>
      </c>
      <c r="BS34" s="262">
        <f t="shared" si="22"/>
        <v>1.3072390289620525E-2</v>
      </c>
      <c r="BT34" s="263">
        <f t="shared" si="23"/>
        <v>70.646593059936919</v>
      </c>
      <c r="BU34" s="264">
        <f t="shared" si="24"/>
        <v>1.4341998645944884E-3</v>
      </c>
      <c r="BV34" s="265">
        <f t="shared" si="25"/>
        <v>7.7507886435331228</v>
      </c>
      <c r="BW34" s="262">
        <f t="shared" si="26"/>
        <v>3.7649935395337602E-4</v>
      </c>
      <c r="BX34" s="263">
        <f t="shared" si="27"/>
        <v>2.034700315457413</v>
      </c>
      <c r="BY34" s="264">
        <f t="shared" si="28"/>
        <v>3.4614008046637591E-2</v>
      </c>
      <c r="BZ34" s="266">
        <f t="shared" si="29"/>
        <v>187.06309148264984</v>
      </c>
      <c r="CA34" s="267">
        <f t="shared" si="30"/>
        <v>3.8674889217983698E-2</v>
      </c>
      <c r="CB34" s="268">
        <f t="shared" si="31"/>
        <v>209.00914826498422</v>
      </c>
      <c r="CC34" s="264">
        <f t="shared" si="32"/>
        <v>8.9314169068698511E-3</v>
      </c>
      <c r="CD34" s="265">
        <f t="shared" si="33"/>
        <v>48.26769716088328</v>
      </c>
      <c r="CE34" s="269">
        <f t="shared" si="34"/>
        <v>0.63300541623753592</v>
      </c>
      <c r="CF34" s="267">
        <f t="shared" si="35"/>
        <v>0.52921904957145183</v>
      </c>
      <c r="CG34" s="267">
        <f t="shared" si="36"/>
        <v>0.53410564680973827</v>
      </c>
      <c r="CH34" s="268">
        <f t="shared" si="37"/>
        <v>2860.037223974763</v>
      </c>
      <c r="CI34" s="264">
        <f t="shared" si="38"/>
        <v>0.16163808654829889</v>
      </c>
      <c r="CJ34" s="270">
        <f t="shared" si="39"/>
        <v>0.13513621265057094</v>
      </c>
      <c r="CK34" s="270">
        <f t="shared" si="40"/>
        <v>0.13638400644043075</v>
      </c>
      <c r="CL34" s="271">
        <f t="shared" si="41"/>
        <v>730.31119873817033</v>
      </c>
      <c r="CM34" s="269">
        <f t="shared" si="42"/>
        <v>5.2619777254003061E-2</v>
      </c>
      <c r="CN34" s="267">
        <f t="shared" si="43"/>
        <v>4.3992338442449028E-2</v>
      </c>
      <c r="CO34" s="267">
        <f t="shared" si="44"/>
        <v>4.4398546117158988E-2</v>
      </c>
      <c r="CP34" s="268">
        <f t="shared" si="45"/>
        <v>237.74602523659308</v>
      </c>
      <c r="CQ34" s="264">
        <f t="shared" si="46"/>
        <v>4.4181690702911385E-2</v>
      </c>
      <c r="CR34" s="270">
        <f t="shared" si="47"/>
        <v>3.693774454763997E-2</v>
      </c>
      <c r="CS34" s="270">
        <f t="shared" si="48"/>
        <v>3.7278812921201339E-2</v>
      </c>
      <c r="CT34" s="265">
        <f t="shared" si="49"/>
        <v>199.62116719242903</v>
      </c>
      <c r="CU34" s="269">
        <f t="shared" si="50"/>
        <v>0.90823545442312437</v>
      </c>
      <c r="CV34" s="267">
        <f t="shared" si="51"/>
        <v>0.75932289305489142</v>
      </c>
      <c r="CW34" s="267">
        <f t="shared" si="52"/>
        <v>0.76633417723896302</v>
      </c>
      <c r="CX34" s="268">
        <f t="shared" si="53"/>
        <v>4103.5781703470029</v>
      </c>
      <c r="CY34" s="264">
        <f t="shared" si="54"/>
        <v>2.8369810521229701E-3</v>
      </c>
      <c r="CZ34" s="270">
        <f t="shared" si="55"/>
        <v>2.3937355999849967E-3</v>
      </c>
      <c r="DA34" s="265">
        <f t="shared" si="56"/>
        <v>12.81801261829653</v>
      </c>
      <c r="DB34" s="269">
        <f t="shared" si="57"/>
        <v>2.1104444961015162E-3</v>
      </c>
      <c r="DC34" s="268">
        <f t="shared" si="58"/>
        <v>11.301041009463722</v>
      </c>
      <c r="DD34" s="264">
        <f t="shared" si="59"/>
        <v>1.9956076997373957E-2</v>
      </c>
      <c r="DE34" s="270">
        <f t="shared" si="60"/>
        <v>1.6838170952502066E-2</v>
      </c>
      <c r="DF34" s="265">
        <f t="shared" si="61"/>
        <v>90.165299684542589</v>
      </c>
      <c r="DG34" s="269">
        <f t="shared" si="62"/>
        <v>3.6710861988455256E-3</v>
      </c>
      <c r="DH34" s="267">
        <f t="shared" si="63"/>
        <v>3.0975214720641827E-3</v>
      </c>
      <c r="DI34" s="272">
        <f t="shared" si="64"/>
        <v>16.586656151419557</v>
      </c>
      <c r="DJ34" s="264">
        <f t="shared" si="65"/>
        <v>6.8261556288164937E-2</v>
      </c>
      <c r="DK34" s="270">
        <f t="shared" si="66"/>
        <v>5.7069521072683441E-2</v>
      </c>
      <c r="DL34" s="270">
        <f t="shared" si="67"/>
        <v>5.7596478226417662E-2</v>
      </c>
      <c r="DM34" s="265">
        <f t="shared" si="68"/>
        <v>308.41851735015774</v>
      </c>
      <c r="DN34" s="269">
        <f t="shared" si="69"/>
        <v>6.1946127906022897E-3</v>
      </c>
      <c r="DO34" s="267">
        <f t="shared" si="70"/>
        <v>5.2267762429681437E-3</v>
      </c>
      <c r="DP34" s="268">
        <f t="shared" si="71"/>
        <v>27.988422712933755</v>
      </c>
      <c r="DQ34" s="264">
        <f t="shared" si="72"/>
        <v>4.6535569973630654E-2</v>
      </c>
      <c r="DR34" s="270">
        <f t="shared" si="73"/>
        <v>3.9264925801359978E-2</v>
      </c>
      <c r="DS34" s="265">
        <f t="shared" si="74"/>
        <v>210.25643533123025</v>
      </c>
      <c r="DT34" s="269">
        <f t="shared" si="75"/>
        <v>4.4030387860502562E-2</v>
      </c>
      <c r="DU34" s="268">
        <f t="shared" si="76"/>
        <v>235.77460567823346</v>
      </c>
      <c r="DV34" s="264">
        <f t="shared" si="2"/>
        <v>0</v>
      </c>
      <c r="DW34" s="265">
        <f t="shared" si="3"/>
        <v>0</v>
      </c>
      <c r="DX34" s="264">
        <f t="shared" si="77"/>
        <v>4.8873621173035755E-6</v>
      </c>
      <c r="DY34" s="270">
        <f t="shared" si="78"/>
        <v>4.0860395002691973E-6</v>
      </c>
      <c r="DZ34" s="270">
        <f t="shared" si="79"/>
        <v>4.1237683563141817E-6</v>
      </c>
      <c r="EA34" s="265">
        <f t="shared" si="80"/>
        <v>2.2082018927444796E-2</v>
      </c>
      <c r="EB34" s="273">
        <f>IFERROR(VLOOKUP(A34,'BARNET SCHS PUPIL PREMIUM Nos'!$E$31:$V$117,17,0),0)</f>
        <v>7</v>
      </c>
      <c r="EC34" s="258">
        <f>IFERROR(VLOOKUP(A34,CFR20212022_BenchMarkDataReport!$B$4:$CL$90,36,0),0)</f>
        <v>0</v>
      </c>
      <c r="ED34" s="258">
        <f>IFERROR(VLOOKUP(A34,CFR20212022_BenchMarkDataReport!$B$4:$CL$90,37,0),0)</f>
        <v>0</v>
      </c>
      <c r="EE34" s="258">
        <f>IFERROR(VLOOKUP(A34,CFR20212022_BenchMarkDataReport!$B$4:$CL$90,38,0),0)</f>
        <v>0</v>
      </c>
      <c r="EF34" s="258">
        <f>IFERROR(VLOOKUP(A34,CFR20212022_BenchMarkDataReport!$B$4:$CL$90,39,0),0)</f>
        <v>86766.44</v>
      </c>
      <c r="EG34" s="227"/>
    </row>
    <row r="35" spans="1:137" s="5" customFormat="1">
      <c r="A35" s="147">
        <v>2026</v>
      </c>
      <c r="B35" s="298">
        <v>10066</v>
      </c>
      <c r="C35" s="147" t="s">
        <v>60</v>
      </c>
      <c r="D35" s="258">
        <f>IFERROR(VLOOKUP(A35,CFR20212022_BenchMarkDataReport!$B$4:$CL$90,19,0),0)</f>
        <v>2501537.29</v>
      </c>
      <c r="E35" s="258">
        <f>IFERROR(VLOOKUP(A35,CFR20212022_BenchMarkDataReport!$B$4:$CL$90,20,0),0)</f>
        <v>0</v>
      </c>
      <c r="F35" s="258">
        <f>IFERROR(VLOOKUP(A35,CFR20212022_BenchMarkDataReport!$B$4:$CL$90,21,0),0)</f>
        <v>63404.69</v>
      </c>
      <c r="G35" s="258">
        <f>IFERROR(VLOOKUP(A35,CFR20212022_BenchMarkDataReport!$B$4:$CL$90,22,0),0)</f>
        <v>0</v>
      </c>
      <c r="H35" s="258">
        <f>IFERROR(VLOOKUP(A35,CFR20212022_BenchMarkDataReport!$B$4:$CL$90,23,0),0)</f>
        <v>92805.03</v>
      </c>
      <c r="I35" s="258">
        <f>IFERROR(VLOOKUP(A35,CFR20212022_BenchMarkDataReport!$B$4:$CL$90,24,0),0)</f>
        <v>0</v>
      </c>
      <c r="J35" s="258">
        <f>IFERROR(VLOOKUP(A35,CFR20212022_BenchMarkDataReport!$B$4:$CL$90,25,0),0)</f>
        <v>4070</v>
      </c>
      <c r="K35" s="258">
        <f>IFERROR(VLOOKUP(A35,CFR20212022_BenchMarkDataReport!$B$4:$CL$90,26,0),0)</f>
        <v>28631.99</v>
      </c>
      <c r="L35" s="258">
        <f>IFERROR(VLOOKUP(A35,CFR20212022_BenchMarkDataReport!$B$4:$CL$90,27,0),0)</f>
        <v>117179.03</v>
      </c>
      <c r="M35" s="258">
        <f>IFERROR(VLOOKUP(A35,CFR20212022_BenchMarkDataReport!$B$4:$CL$90,28,0),0)</f>
        <v>37730.17</v>
      </c>
      <c r="N35" s="258">
        <f>IFERROR(VLOOKUP(A35,CFR20212022_BenchMarkDataReport!$B$4:$CL$90,29,0),0)</f>
        <v>0</v>
      </c>
      <c r="O35" s="258">
        <f>IFERROR(VLOOKUP(A35,CFR20212022_BenchMarkDataReport!$B$4:$CL$90,30,0),0)</f>
        <v>0</v>
      </c>
      <c r="P35" s="258">
        <f>IFERROR(VLOOKUP(A35,CFR20212022_BenchMarkDataReport!$B$4:$CL$90,31,0),0)</f>
        <v>31390.18</v>
      </c>
      <c r="Q35" s="258">
        <f>IFERROR(VLOOKUP(A35,CFR20212022_BenchMarkDataReport!$B$4:$CL$90,32,0),0)</f>
        <v>16386.150000000001</v>
      </c>
      <c r="R35" s="258">
        <f>IFERROR(VLOOKUP(A35,CFR20212022_BenchMarkDataReport!$B$4:$CL$90,33,0),0)</f>
        <v>0</v>
      </c>
      <c r="S35" s="258">
        <f>IFERROR(VLOOKUP(A35,CFR20212022_BenchMarkDataReport!$B$4:$CL$90,34,0),0)</f>
        <v>0</v>
      </c>
      <c r="T35" s="258">
        <f>IFERROR(VLOOKUP(A35,CFR20212022_BenchMarkDataReport!$B$4:$CL$90,35,0),0)</f>
        <v>0</v>
      </c>
      <c r="U35" s="258">
        <f t="shared" si="0"/>
        <v>108156</v>
      </c>
      <c r="V35" s="258">
        <f>IFERROR(VLOOKUP(A35,CFR20212022_BenchMarkDataReport!$B$4:$CL$90,40,0),0)</f>
        <v>1395207.65</v>
      </c>
      <c r="W35" s="258">
        <f>IFERROR(VLOOKUP(A35,CFR20212022_BenchMarkDataReport!$B$4:$CL$90,41,0),0)</f>
        <v>7617.86</v>
      </c>
      <c r="X35" s="258">
        <f>IFERROR(VLOOKUP(A35,CFR20212022_BenchMarkDataReport!$B$4:$CL$90,42,0),0)</f>
        <v>506036.91</v>
      </c>
      <c r="Y35" s="258">
        <f>IFERROR(VLOOKUP(A35,CFR20212022_BenchMarkDataReport!$B$4:$CL$90,43,0),0)</f>
        <v>64887.93</v>
      </c>
      <c r="Z35" s="258">
        <f>IFERROR(VLOOKUP(A35,CFR20212022_BenchMarkDataReport!$B$4:$CL$90,44,0),0)</f>
        <v>172472.05</v>
      </c>
      <c r="AA35" s="258">
        <f>IFERROR(VLOOKUP(A35,CFR20212022_BenchMarkDataReport!$B$4:$CL$90,45,0),0)</f>
        <v>0</v>
      </c>
      <c r="AB35" s="258">
        <f>IFERROR(VLOOKUP(A35,CFR20212022_BenchMarkDataReport!$B$4:$CL$90,46,0),0)</f>
        <v>75444.03</v>
      </c>
      <c r="AC35" s="258">
        <f>IFERROR(VLOOKUP(A35,CFR20212022_BenchMarkDataReport!$B$4:$CL$90,47,0),0)</f>
        <v>91876.2</v>
      </c>
      <c r="AD35" s="258">
        <f>IFERROR(VLOOKUP(A35,CFR20212022_BenchMarkDataReport!$B$4:$CL$90,48,0),0)</f>
        <v>7298.83</v>
      </c>
      <c r="AE35" s="258">
        <f>IFERROR(VLOOKUP(A35,CFR20212022_BenchMarkDataReport!$B$4:$CL$90,49,0),0)</f>
        <v>815.08</v>
      </c>
      <c r="AF35" s="258">
        <f>IFERROR(VLOOKUP(A35,CFR20212022_BenchMarkDataReport!$B$4:$CL$90,50,0),0)</f>
        <v>0</v>
      </c>
      <c r="AG35" s="258">
        <f>IFERROR(VLOOKUP(A35,CFR20212022_BenchMarkDataReport!$B$4:$CL$90,51,0),0)</f>
        <v>25613.42</v>
      </c>
      <c r="AH35" s="258">
        <f>IFERROR(VLOOKUP(A35,CFR20212022_BenchMarkDataReport!$B$4:$CL$90,52,0),0)</f>
        <v>4999.84</v>
      </c>
      <c r="AI35" s="258">
        <f>IFERROR(VLOOKUP(A35,CFR20212022_BenchMarkDataReport!$B$4:$CL$90,53,0),0)</f>
        <v>51678.01</v>
      </c>
      <c r="AJ35" s="258">
        <f>IFERROR(VLOOKUP(A35,CFR20212022_BenchMarkDataReport!$B$4:$CL$90,54,0),0)</f>
        <v>478.32</v>
      </c>
      <c r="AK35" s="258">
        <f>IFERROR(VLOOKUP(A35,CFR20212022_BenchMarkDataReport!$B$4:$CL$90,55,0),0)</f>
        <v>50390.44</v>
      </c>
      <c r="AL35" s="258">
        <f>IFERROR(VLOOKUP(A35,CFR20212022_BenchMarkDataReport!$B$4:$CL$90,56,0),0)</f>
        <v>41496</v>
      </c>
      <c r="AM35" s="258">
        <f>IFERROR(VLOOKUP(A35,CFR20212022_BenchMarkDataReport!$B$4:$CL$90,57,0),0)</f>
        <v>21138.799999999999</v>
      </c>
      <c r="AN35" s="258">
        <f>IFERROR(VLOOKUP(A35,CFR20212022_BenchMarkDataReport!$B$4:$CL$90,58,0),0)</f>
        <v>71312.2</v>
      </c>
      <c r="AO35" s="258">
        <f>IFERROR(VLOOKUP(A35,CFR20212022_BenchMarkDataReport!$B$4:$CL$90,59,0),0)</f>
        <v>21864.66</v>
      </c>
      <c r="AP35" s="258">
        <f>IFERROR(VLOOKUP(A35,CFR20212022_BenchMarkDataReport!$B$4:$CL$90,60,0),0)</f>
        <v>0</v>
      </c>
      <c r="AQ35" s="258">
        <f>IFERROR(VLOOKUP(A35,CFR20212022_BenchMarkDataReport!$B$4:$CL$90,61,0),0)</f>
        <v>50112.25</v>
      </c>
      <c r="AR35" s="258">
        <f>IFERROR(VLOOKUP(A35,CFR20212022_BenchMarkDataReport!$B$4:$CL$90,62,0),0)</f>
        <v>14421.39</v>
      </c>
      <c r="AS35" s="258">
        <f>IFERROR(VLOOKUP(A35,CFR20212022_BenchMarkDataReport!$B$4:$CL$90,63,0),0)</f>
        <v>36513.33</v>
      </c>
      <c r="AT35" s="258">
        <f>IFERROR(VLOOKUP(A35,CFR20212022_BenchMarkDataReport!$B$4:$CL$90,64,0),0)</f>
        <v>117848.03</v>
      </c>
      <c r="AU35" s="258">
        <f>IFERROR(VLOOKUP(A35,CFR20212022_BenchMarkDataReport!$B$4:$CL$90,65,0),0)</f>
        <v>148033.88</v>
      </c>
      <c r="AV35" s="258">
        <f>IFERROR(VLOOKUP(A35,CFR20212022_BenchMarkDataReport!$B$4:$CL$90,66,0),0)</f>
        <v>122127.45</v>
      </c>
      <c r="AW35" s="258">
        <f>IFERROR(VLOOKUP(A35,CFR20212022_BenchMarkDataReport!$B$4:$CL$90,67,0),0)</f>
        <v>41374.86</v>
      </c>
      <c r="AX35" s="258">
        <f>IFERROR(VLOOKUP(A35,CFR20212022_BenchMarkDataReport!$B$4:$CL$90,68,0),0)</f>
        <v>0</v>
      </c>
      <c r="AY35" s="258">
        <f>IFERROR(VLOOKUP(A35,CFR20212022_BenchMarkDataReport!$B$4:$CL$90,69,0),0)</f>
        <v>0</v>
      </c>
      <c r="AZ35" s="258">
        <f>IFERROR(VLOOKUP(A35,CFR20212022_BenchMarkDataReport!$B$4:$CL$90,70,0),0)</f>
        <v>15376.9</v>
      </c>
      <c r="BA35" s="258">
        <f>IFERROR(VLOOKUP(A35,CFR20212022_BenchMarkDataReport!$B$4:$CL$90,71,0),0)</f>
        <v>0</v>
      </c>
      <c r="BB35" s="258">
        <f>IFERROR(VLOOKUP(A35,CFR20212022_BenchMarkDataReport!$B$4:$CL$90,72,0),0)</f>
        <v>0</v>
      </c>
      <c r="BC35" s="259">
        <f t="shared" si="10"/>
        <v>3001290.53</v>
      </c>
      <c r="BD35" s="260">
        <f t="shared" si="11"/>
        <v>3156436.3199999994</v>
      </c>
      <c r="BE35" s="300">
        <f t="shared" si="12"/>
        <v>-155145.78999999957</v>
      </c>
      <c r="BF35" s="258">
        <f>IFERROR(VLOOKUP(A35,CFR20212022_BenchMarkDataReport!$B$4:$CL$90,16,0),0)</f>
        <v>-77720.73</v>
      </c>
      <c r="BG35" s="300">
        <f t="shared" si="13"/>
        <v>-232866.51999999955</v>
      </c>
      <c r="BH35" s="261">
        <f>IFERROR(VLOOKUP(A35,'Pupil Nos BenchmarkData 21-22'!$A$6:$E$94,5,0),0)</f>
        <v>518.5</v>
      </c>
      <c r="BI35" s="260">
        <f t="shared" si="1"/>
        <v>2564941.98</v>
      </c>
      <c r="BJ35" s="227" t="s">
        <v>183</v>
      </c>
      <c r="BK35" s="262">
        <f t="shared" si="14"/>
        <v>0.83348721658079539</v>
      </c>
      <c r="BL35" s="263">
        <f t="shared" si="15"/>
        <v>4824.5656509161045</v>
      </c>
      <c r="BM35" s="264">
        <f t="shared" si="16"/>
        <v>0</v>
      </c>
      <c r="BN35" s="265">
        <f t="shared" si="17"/>
        <v>0</v>
      </c>
      <c r="BO35" s="262">
        <f t="shared" si="18"/>
        <v>2.1125808836640687E-2</v>
      </c>
      <c r="BP35" s="263">
        <f t="shared" si="19"/>
        <v>122.28484088717455</v>
      </c>
      <c r="BQ35" s="264">
        <f t="shared" si="20"/>
        <v>0</v>
      </c>
      <c r="BR35" s="265">
        <f t="shared" si="21"/>
        <v>0</v>
      </c>
      <c r="BS35" s="262">
        <f t="shared" si="22"/>
        <v>3.0921708202637753E-2</v>
      </c>
      <c r="BT35" s="263">
        <f t="shared" si="23"/>
        <v>178.98752169720348</v>
      </c>
      <c r="BU35" s="264">
        <f t="shared" si="24"/>
        <v>0</v>
      </c>
      <c r="BV35" s="265">
        <f t="shared" si="25"/>
        <v>0</v>
      </c>
      <c r="BW35" s="262">
        <f t="shared" si="26"/>
        <v>1.3560833112681032E-3</v>
      </c>
      <c r="BX35" s="263">
        <f t="shared" si="27"/>
        <v>7.8495660559305689</v>
      </c>
      <c r="BY35" s="264">
        <f t="shared" si="28"/>
        <v>4.8582774157488844E-2</v>
      </c>
      <c r="BZ35" s="266">
        <f t="shared" si="29"/>
        <v>281.21701060752167</v>
      </c>
      <c r="CA35" s="267">
        <f t="shared" si="30"/>
        <v>1.045889416110609E-2</v>
      </c>
      <c r="CB35" s="268">
        <f t="shared" si="31"/>
        <v>60.540366441658634</v>
      </c>
      <c r="CC35" s="264">
        <f t="shared" si="32"/>
        <v>5.4597013638662973E-3</v>
      </c>
      <c r="CD35" s="265">
        <f t="shared" si="33"/>
        <v>31.602989392478307</v>
      </c>
      <c r="CE35" s="269">
        <f t="shared" si="34"/>
        <v>0.60463722068286319</v>
      </c>
      <c r="CF35" s="267">
        <f t="shared" si="35"/>
        <v>0.51673084444777173</v>
      </c>
      <c r="CG35" s="267">
        <f t="shared" si="36"/>
        <v>0.49133238651873085</v>
      </c>
      <c r="CH35" s="268">
        <f t="shared" si="37"/>
        <v>2991.0499324975895</v>
      </c>
      <c r="CI35" s="264">
        <f t="shared" si="38"/>
        <v>0.19728980770161514</v>
      </c>
      <c r="CJ35" s="270">
        <f t="shared" si="39"/>
        <v>0.1686064394439015</v>
      </c>
      <c r="CK35" s="270">
        <f t="shared" si="40"/>
        <v>0.16031906197302914</v>
      </c>
      <c r="CL35" s="271">
        <f t="shared" si="41"/>
        <v>975.96318225650907</v>
      </c>
      <c r="CM35" s="269">
        <f t="shared" si="42"/>
        <v>2.5298010834537473E-2</v>
      </c>
      <c r="CN35" s="267">
        <f t="shared" si="43"/>
        <v>2.1620009576347146E-2</v>
      </c>
      <c r="CO35" s="267">
        <f t="shared" si="44"/>
        <v>2.0557338536771119E-2</v>
      </c>
      <c r="CP35" s="268">
        <f t="shared" si="45"/>
        <v>125.14547733847637</v>
      </c>
      <c r="CQ35" s="264">
        <f t="shared" si="46"/>
        <v>6.7242086310272009E-2</v>
      </c>
      <c r="CR35" s="270">
        <f t="shared" si="47"/>
        <v>5.7465962817001927E-2</v>
      </c>
      <c r="CS35" s="270">
        <f t="shared" si="48"/>
        <v>5.4641384306463696E-2</v>
      </c>
      <c r="CT35" s="265">
        <f t="shared" si="49"/>
        <v>332.63654773384764</v>
      </c>
      <c r="CU35" s="269">
        <f t="shared" si="50"/>
        <v>0.86616634891678901</v>
      </c>
      <c r="CV35" s="267">
        <f t="shared" si="51"/>
        <v>0.74023704396255163</v>
      </c>
      <c r="CW35" s="267">
        <f t="shared" si="52"/>
        <v>0.70385276456329715</v>
      </c>
      <c r="CX35" s="268">
        <f t="shared" si="53"/>
        <v>4284.7954291224678</v>
      </c>
      <c r="CY35" s="264">
        <f t="shared" si="54"/>
        <v>9.9859646727759512E-3</v>
      </c>
      <c r="CZ35" s="270">
        <f t="shared" si="55"/>
        <v>8.1146639448122955E-3</v>
      </c>
      <c r="DA35" s="265">
        <f t="shared" si="56"/>
        <v>49.399074252651879</v>
      </c>
      <c r="DB35" s="269">
        <f t="shared" si="57"/>
        <v>1.5153798509073046E-4</v>
      </c>
      <c r="DC35" s="268">
        <f t="shared" si="58"/>
        <v>0.92250723240115717</v>
      </c>
      <c r="DD35" s="264">
        <f t="shared" si="59"/>
        <v>1.9645840098106236E-2</v>
      </c>
      <c r="DE35" s="270">
        <f t="shared" si="60"/>
        <v>1.59643455122833E-2</v>
      </c>
      <c r="DF35" s="265">
        <f t="shared" si="61"/>
        <v>97.18503375120541</v>
      </c>
      <c r="DG35" s="269">
        <f t="shared" si="62"/>
        <v>8.2414339836256248E-3</v>
      </c>
      <c r="DH35" s="267">
        <f t="shared" si="63"/>
        <v>6.6970462435941057E-3</v>
      </c>
      <c r="DI35" s="272">
        <f t="shared" si="64"/>
        <v>40.769141755062677</v>
      </c>
      <c r="DJ35" s="264">
        <f t="shared" si="65"/>
        <v>2.7802656183279435E-2</v>
      </c>
      <c r="DK35" s="270">
        <f t="shared" si="66"/>
        <v>2.3760512115433223E-2</v>
      </c>
      <c r="DL35" s="270">
        <f t="shared" si="67"/>
        <v>2.259263066647263E-2</v>
      </c>
      <c r="DM35" s="265">
        <f t="shared" si="68"/>
        <v>137.53558341369333</v>
      </c>
      <c r="DN35" s="269">
        <f t="shared" si="69"/>
        <v>1.9537381504434653E-2</v>
      </c>
      <c r="DO35" s="267">
        <f t="shared" si="70"/>
        <v>1.5876211309087968E-2</v>
      </c>
      <c r="DP35" s="268">
        <f t="shared" si="71"/>
        <v>96.648505303760842</v>
      </c>
      <c r="DQ35" s="264">
        <f t="shared" si="72"/>
        <v>4.7614117961451902E-2</v>
      </c>
      <c r="DR35" s="270">
        <f t="shared" si="73"/>
        <v>3.8691561501231243E-2</v>
      </c>
      <c r="DS35" s="265">
        <f t="shared" si="74"/>
        <v>235.53992285438764</v>
      </c>
      <c r="DT35" s="269">
        <f t="shared" si="75"/>
        <v>3.7335785693911931E-2</v>
      </c>
      <c r="DU35" s="268">
        <f t="shared" si="76"/>
        <v>227.28646094503375</v>
      </c>
      <c r="DV35" s="264">
        <f t="shared" si="2"/>
        <v>1.6372264402280106E-2</v>
      </c>
      <c r="DW35" s="265">
        <f t="shared" si="3"/>
        <v>99.668293153326914</v>
      </c>
      <c r="DX35" s="264">
        <f t="shared" si="77"/>
        <v>2.6901193297167683E-5</v>
      </c>
      <c r="DY35" s="270">
        <f t="shared" si="78"/>
        <v>2.2990110191031723E-5</v>
      </c>
      <c r="DZ35" s="270">
        <f t="shared" si="79"/>
        <v>2.1860095691713499E-5</v>
      </c>
      <c r="EA35" s="265">
        <f t="shared" si="80"/>
        <v>0.13307618129218901</v>
      </c>
      <c r="EB35" s="273">
        <f>IFERROR(VLOOKUP(A35,'BARNET SCHS PUPIL PREMIUM Nos'!$E$31:$V$117,17,0),0)</f>
        <v>69</v>
      </c>
      <c r="EC35" s="258">
        <f>IFERROR(VLOOKUP(A35,CFR20212022_BenchMarkDataReport!$B$4:$CL$90,36,0),0)</f>
        <v>0</v>
      </c>
      <c r="ED35" s="258">
        <f>IFERROR(VLOOKUP(A35,CFR20212022_BenchMarkDataReport!$B$4:$CL$90,37,0),0)</f>
        <v>0</v>
      </c>
      <c r="EE35" s="258">
        <f>IFERROR(VLOOKUP(A35,CFR20212022_BenchMarkDataReport!$B$4:$CL$90,38,0),0)</f>
        <v>16560</v>
      </c>
      <c r="EF35" s="258">
        <f>IFERROR(VLOOKUP(A35,CFR20212022_BenchMarkDataReport!$B$4:$CL$90,39,0),0)</f>
        <v>91596</v>
      </c>
      <c r="EG35" s="227"/>
    </row>
    <row r="36" spans="1:137" s="5" customFormat="1">
      <c r="A36" s="147">
        <v>2028</v>
      </c>
      <c r="B36" s="298">
        <v>10068</v>
      </c>
      <c r="C36" s="147" t="s">
        <v>61</v>
      </c>
      <c r="D36" s="258">
        <f>IFERROR(VLOOKUP(A36,CFR20212022_BenchMarkDataReport!$B$4:$CL$90,19,0),0)</f>
        <v>1204665.3</v>
      </c>
      <c r="E36" s="258">
        <f>IFERROR(VLOOKUP(A36,CFR20212022_BenchMarkDataReport!$B$4:$CL$90,20,0),0)</f>
        <v>0</v>
      </c>
      <c r="F36" s="258">
        <f>IFERROR(VLOOKUP(A36,CFR20212022_BenchMarkDataReport!$B$4:$CL$90,21,0),0)</f>
        <v>51852.02</v>
      </c>
      <c r="G36" s="258">
        <f>IFERROR(VLOOKUP(A36,CFR20212022_BenchMarkDataReport!$B$4:$CL$90,22,0),0)</f>
        <v>0</v>
      </c>
      <c r="H36" s="258">
        <f>IFERROR(VLOOKUP(A36,CFR20212022_BenchMarkDataReport!$B$4:$CL$90,23,0),0)</f>
        <v>65559.990000000005</v>
      </c>
      <c r="I36" s="258">
        <f>IFERROR(VLOOKUP(A36,CFR20212022_BenchMarkDataReport!$B$4:$CL$90,24,0),0)</f>
        <v>25067.27</v>
      </c>
      <c r="J36" s="258">
        <f>IFERROR(VLOOKUP(A36,CFR20212022_BenchMarkDataReport!$B$4:$CL$90,25,0),0)</f>
        <v>500</v>
      </c>
      <c r="K36" s="258">
        <f>IFERROR(VLOOKUP(A36,CFR20212022_BenchMarkDataReport!$B$4:$CL$90,26,0),0)</f>
        <v>9236</v>
      </c>
      <c r="L36" s="258">
        <f>IFERROR(VLOOKUP(A36,CFR20212022_BenchMarkDataReport!$B$4:$CL$90,27,0),0)</f>
        <v>8555.4500000000007</v>
      </c>
      <c r="M36" s="258">
        <f>IFERROR(VLOOKUP(A36,CFR20212022_BenchMarkDataReport!$B$4:$CL$90,28,0),0)</f>
        <v>1150.49</v>
      </c>
      <c r="N36" s="258">
        <f>IFERROR(VLOOKUP(A36,CFR20212022_BenchMarkDataReport!$B$4:$CL$90,29,0),0)</f>
        <v>0</v>
      </c>
      <c r="O36" s="258">
        <f>IFERROR(VLOOKUP(A36,CFR20212022_BenchMarkDataReport!$B$4:$CL$90,30,0),0)</f>
        <v>0</v>
      </c>
      <c r="P36" s="258">
        <f>IFERROR(VLOOKUP(A36,CFR20212022_BenchMarkDataReport!$B$4:$CL$90,31,0),0)</f>
        <v>1824.5</v>
      </c>
      <c r="Q36" s="258">
        <f>IFERROR(VLOOKUP(A36,CFR20212022_BenchMarkDataReport!$B$4:$CL$90,32,0),0)</f>
        <v>25136.69</v>
      </c>
      <c r="R36" s="258">
        <f>IFERROR(VLOOKUP(A36,CFR20212022_BenchMarkDataReport!$B$4:$CL$90,33,0),0)</f>
        <v>0</v>
      </c>
      <c r="S36" s="258">
        <f>IFERROR(VLOOKUP(A36,CFR20212022_BenchMarkDataReport!$B$4:$CL$90,34,0),0)</f>
        <v>0</v>
      </c>
      <c r="T36" s="258">
        <f>IFERROR(VLOOKUP(A36,CFR20212022_BenchMarkDataReport!$B$4:$CL$90,35,0),0)</f>
        <v>0</v>
      </c>
      <c r="U36" s="258">
        <f t="shared" si="0"/>
        <v>95411</v>
      </c>
      <c r="V36" s="258">
        <f>IFERROR(VLOOKUP(A36,CFR20212022_BenchMarkDataReport!$B$4:$CL$90,40,0),0)</f>
        <v>800622.98</v>
      </c>
      <c r="W36" s="258">
        <f>IFERROR(VLOOKUP(A36,CFR20212022_BenchMarkDataReport!$B$4:$CL$90,41,0),0)</f>
        <v>1983.99</v>
      </c>
      <c r="X36" s="258">
        <f>IFERROR(VLOOKUP(A36,CFR20212022_BenchMarkDataReport!$B$4:$CL$90,42,0),0)</f>
        <v>214813.25</v>
      </c>
      <c r="Y36" s="258">
        <f>IFERROR(VLOOKUP(A36,CFR20212022_BenchMarkDataReport!$B$4:$CL$90,43,0),0)</f>
        <v>36710.81</v>
      </c>
      <c r="Z36" s="258">
        <f>IFERROR(VLOOKUP(A36,CFR20212022_BenchMarkDataReport!$B$4:$CL$90,44,0),0)</f>
        <v>89452.69</v>
      </c>
      <c r="AA36" s="258">
        <f>IFERROR(VLOOKUP(A36,CFR20212022_BenchMarkDataReport!$B$4:$CL$90,45,0),0)</f>
        <v>0</v>
      </c>
      <c r="AB36" s="258">
        <f>IFERROR(VLOOKUP(A36,CFR20212022_BenchMarkDataReport!$B$4:$CL$90,46,0),0)</f>
        <v>30707.03</v>
      </c>
      <c r="AC36" s="258">
        <f>IFERROR(VLOOKUP(A36,CFR20212022_BenchMarkDataReport!$B$4:$CL$90,47,0),0)</f>
        <v>6671.77</v>
      </c>
      <c r="AD36" s="258">
        <f>IFERROR(VLOOKUP(A36,CFR20212022_BenchMarkDataReport!$B$4:$CL$90,48,0),0)</f>
        <v>990</v>
      </c>
      <c r="AE36" s="258">
        <f>IFERROR(VLOOKUP(A36,CFR20212022_BenchMarkDataReport!$B$4:$CL$90,49,0),0)</f>
        <v>382.12</v>
      </c>
      <c r="AF36" s="258">
        <f>IFERROR(VLOOKUP(A36,CFR20212022_BenchMarkDataReport!$B$4:$CL$90,50,0),0)</f>
        <v>0</v>
      </c>
      <c r="AG36" s="258">
        <f>IFERROR(VLOOKUP(A36,CFR20212022_BenchMarkDataReport!$B$4:$CL$90,51,0),0)</f>
        <v>15555.03</v>
      </c>
      <c r="AH36" s="258">
        <f>IFERROR(VLOOKUP(A36,CFR20212022_BenchMarkDataReport!$B$4:$CL$90,52,0),0)</f>
        <v>1026.48</v>
      </c>
      <c r="AI36" s="258">
        <f>IFERROR(VLOOKUP(A36,CFR20212022_BenchMarkDataReport!$B$4:$CL$90,53,0),0)</f>
        <v>19496.990000000002</v>
      </c>
      <c r="AJ36" s="258">
        <f>IFERROR(VLOOKUP(A36,CFR20212022_BenchMarkDataReport!$B$4:$CL$90,54,0),0)</f>
        <v>2698.33</v>
      </c>
      <c r="AK36" s="258">
        <f>IFERROR(VLOOKUP(A36,CFR20212022_BenchMarkDataReport!$B$4:$CL$90,55,0),0)</f>
        <v>13116.76</v>
      </c>
      <c r="AL36" s="258">
        <f>IFERROR(VLOOKUP(A36,CFR20212022_BenchMarkDataReport!$B$4:$CL$90,56,0),0)</f>
        <v>19542.8</v>
      </c>
      <c r="AM36" s="258">
        <f>IFERROR(VLOOKUP(A36,CFR20212022_BenchMarkDataReport!$B$4:$CL$90,57,0),0)</f>
        <v>10570.24</v>
      </c>
      <c r="AN36" s="258">
        <f>IFERROR(VLOOKUP(A36,CFR20212022_BenchMarkDataReport!$B$4:$CL$90,58,0),0)</f>
        <v>21624.18</v>
      </c>
      <c r="AO36" s="258">
        <f>IFERROR(VLOOKUP(A36,CFR20212022_BenchMarkDataReport!$B$4:$CL$90,59,0),0)</f>
        <v>7049.26</v>
      </c>
      <c r="AP36" s="258">
        <f>IFERROR(VLOOKUP(A36,CFR20212022_BenchMarkDataReport!$B$4:$CL$90,60,0),0)</f>
        <v>0</v>
      </c>
      <c r="AQ36" s="258">
        <f>IFERROR(VLOOKUP(A36,CFR20212022_BenchMarkDataReport!$B$4:$CL$90,61,0),0)</f>
        <v>9367.49</v>
      </c>
      <c r="AR36" s="258">
        <f>IFERROR(VLOOKUP(A36,CFR20212022_BenchMarkDataReport!$B$4:$CL$90,62,0),0)</f>
        <v>6436.71</v>
      </c>
      <c r="AS36" s="258">
        <f>IFERROR(VLOOKUP(A36,CFR20212022_BenchMarkDataReport!$B$4:$CL$90,63,0),0)</f>
        <v>530.70000000000005</v>
      </c>
      <c r="AT36" s="258">
        <f>IFERROR(VLOOKUP(A36,CFR20212022_BenchMarkDataReport!$B$4:$CL$90,64,0),0)</f>
        <v>72943.31</v>
      </c>
      <c r="AU36" s="258">
        <f>IFERROR(VLOOKUP(A36,CFR20212022_BenchMarkDataReport!$B$4:$CL$90,65,0),0)</f>
        <v>23332.75</v>
      </c>
      <c r="AV36" s="258">
        <f>IFERROR(VLOOKUP(A36,CFR20212022_BenchMarkDataReport!$B$4:$CL$90,66,0),0)</f>
        <v>116259.6</v>
      </c>
      <c r="AW36" s="258">
        <f>IFERROR(VLOOKUP(A36,CFR20212022_BenchMarkDataReport!$B$4:$CL$90,67,0),0)</f>
        <v>28839.5</v>
      </c>
      <c r="AX36" s="258">
        <f>IFERROR(VLOOKUP(A36,CFR20212022_BenchMarkDataReport!$B$4:$CL$90,68,0),0)</f>
        <v>0</v>
      </c>
      <c r="AY36" s="258">
        <f>IFERROR(VLOOKUP(A36,CFR20212022_BenchMarkDataReport!$B$4:$CL$90,69,0),0)</f>
        <v>0</v>
      </c>
      <c r="AZ36" s="258">
        <f>IFERROR(VLOOKUP(A36,CFR20212022_BenchMarkDataReport!$B$4:$CL$90,70,0),0)</f>
        <v>0</v>
      </c>
      <c r="BA36" s="258">
        <f>IFERROR(VLOOKUP(A36,CFR20212022_BenchMarkDataReport!$B$4:$CL$90,71,0),0)</f>
        <v>0</v>
      </c>
      <c r="BB36" s="258">
        <f>IFERROR(VLOOKUP(A36,CFR20212022_BenchMarkDataReport!$B$4:$CL$90,72,0),0)</f>
        <v>0</v>
      </c>
      <c r="BC36" s="259">
        <f t="shared" si="10"/>
        <v>1488958.71</v>
      </c>
      <c r="BD36" s="260">
        <f t="shared" si="11"/>
        <v>1550724.7700000003</v>
      </c>
      <c r="BE36" s="300">
        <f t="shared" si="12"/>
        <v>-61766.060000000289</v>
      </c>
      <c r="BF36" s="258">
        <f>IFERROR(VLOOKUP(A36,CFR20212022_BenchMarkDataReport!$B$4:$CL$90,16,0),0)</f>
        <v>26766.66</v>
      </c>
      <c r="BG36" s="300">
        <f t="shared" si="13"/>
        <v>-34999.400000000285</v>
      </c>
      <c r="BH36" s="261">
        <f>IFERROR(VLOOKUP(A36,'Pupil Nos BenchmarkData 21-22'!$A$6:$E$94,5,0),0)</f>
        <v>220</v>
      </c>
      <c r="BI36" s="260">
        <f t="shared" si="1"/>
        <v>1256517.32</v>
      </c>
      <c r="BJ36" s="227" t="s">
        <v>183</v>
      </c>
      <c r="BK36" s="262">
        <f t="shared" si="14"/>
        <v>0.80906561875043537</v>
      </c>
      <c r="BL36" s="263">
        <f t="shared" si="15"/>
        <v>5475.7513636363637</v>
      </c>
      <c r="BM36" s="264">
        <f t="shared" si="16"/>
        <v>0</v>
      </c>
      <c r="BN36" s="265">
        <f t="shared" si="17"/>
        <v>0</v>
      </c>
      <c r="BO36" s="262">
        <f t="shared" si="18"/>
        <v>3.4824350501969255E-2</v>
      </c>
      <c r="BP36" s="263">
        <f t="shared" si="19"/>
        <v>235.69099999999997</v>
      </c>
      <c r="BQ36" s="264">
        <f t="shared" si="20"/>
        <v>0</v>
      </c>
      <c r="BR36" s="265">
        <f t="shared" si="21"/>
        <v>0</v>
      </c>
      <c r="BS36" s="262">
        <f t="shared" si="22"/>
        <v>4.4030764291643792E-2</v>
      </c>
      <c r="BT36" s="263">
        <f t="shared" si="23"/>
        <v>297.99995454545456</v>
      </c>
      <c r="BU36" s="264">
        <f t="shared" si="24"/>
        <v>1.6835436625371566E-2</v>
      </c>
      <c r="BV36" s="265">
        <f t="shared" si="25"/>
        <v>113.94213636363637</v>
      </c>
      <c r="BW36" s="262">
        <f t="shared" si="26"/>
        <v>3.3580514801515217E-4</v>
      </c>
      <c r="BX36" s="263">
        <f t="shared" si="27"/>
        <v>2.2727272727272729</v>
      </c>
      <c r="BY36" s="264">
        <f t="shared" si="28"/>
        <v>1.1948921001308357E-2</v>
      </c>
      <c r="BZ36" s="266">
        <f t="shared" si="29"/>
        <v>80.870227272727277</v>
      </c>
      <c r="CA36" s="267">
        <f t="shared" si="30"/>
        <v>1.2253529851072903E-3</v>
      </c>
      <c r="CB36" s="268">
        <f t="shared" si="31"/>
        <v>8.293181818181818</v>
      </c>
      <c r="CC36" s="264">
        <f t="shared" si="32"/>
        <v>1.6882059812121989E-2</v>
      </c>
      <c r="CD36" s="265">
        <f t="shared" si="33"/>
        <v>114.25768181818181</v>
      </c>
      <c r="CE36" s="269">
        <f t="shared" si="34"/>
        <v>0.65732458029309138</v>
      </c>
      <c r="CF36" s="267">
        <f t="shared" si="35"/>
        <v>0.55470961985238665</v>
      </c>
      <c r="CG36" s="267">
        <f t="shared" si="36"/>
        <v>0.53261528801142444</v>
      </c>
      <c r="CH36" s="268">
        <f t="shared" si="37"/>
        <v>3754.2714545454546</v>
      </c>
      <c r="CI36" s="264">
        <f t="shared" si="38"/>
        <v>0.17095924312447996</v>
      </c>
      <c r="CJ36" s="270">
        <f t="shared" si="39"/>
        <v>0.14427079042373175</v>
      </c>
      <c r="CK36" s="270">
        <f t="shared" si="40"/>
        <v>0.13852442042310317</v>
      </c>
      <c r="CL36" s="271">
        <f t="shared" si="41"/>
        <v>976.42386363636365</v>
      </c>
      <c r="CM36" s="269">
        <f t="shared" si="42"/>
        <v>2.9216318323411566E-2</v>
      </c>
      <c r="CN36" s="267">
        <f t="shared" si="43"/>
        <v>2.4655357971612255E-2</v>
      </c>
      <c r="CO36" s="267">
        <f t="shared" si="44"/>
        <v>2.3673324054790196E-2</v>
      </c>
      <c r="CP36" s="268">
        <f t="shared" si="45"/>
        <v>166.86731818181818</v>
      </c>
      <c r="CQ36" s="264">
        <f t="shared" si="46"/>
        <v>7.1190972520776705E-2</v>
      </c>
      <c r="CR36" s="270">
        <f t="shared" si="47"/>
        <v>6.0077347611607046E-2</v>
      </c>
      <c r="CS36" s="270">
        <f t="shared" si="48"/>
        <v>5.7684440031224873E-2</v>
      </c>
      <c r="CT36" s="265">
        <f t="shared" si="49"/>
        <v>406.60313636363639</v>
      </c>
      <c r="CU36" s="269">
        <f t="shared" si="50"/>
        <v>0.93455993905440149</v>
      </c>
      <c r="CV36" s="267">
        <f t="shared" si="51"/>
        <v>0.78866575823314811</v>
      </c>
      <c r="CW36" s="267">
        <f t="shared" si="52"/>
        <v>0.75725284893721001</v>
      </c>
      <c r="CX36" s="268">
        <f t="shared" si="53"/>
        <v>5337.6852272727274</v>
      </c>
      <c r="CY36" s="264">
        <f t="shared" si="54"/>
        <v>1.2379479178209815E-2</v>
      </c>
      <c r="CZ36" s="270">
        <f t="shared" si="55"/>
        <v>1.0030812882417554E-2</v>
      </c>
      <c r="DA36" s="265">
        <f t="shared" si="56"/>
        <v>70.704681818181825</v>
      </c>
      <c r="DB36" s="269">
        <f t="shared" si="57"/>
        <v>1.740044430966302E-3</v>
      </c>
      <c r="DC36" s="268">
        <f t="shared" si="58"/>
        <v>12.265136363636364</v>
      </c>
      <c r="DD36" s="264">
        <f t="shared" si="59"/>
        <v>1.0438980658062079E-2</v>
      </c>
      <c r="DE36" s="270">
        <f t="shared" si="60"/>
        <v>8.4584706801323611E-3</v>
      </c>
      <c r="DF36" s="265">
        <f t="shared" si="61"/>
        <v>59.621636363636362</v>
      </c>
      <c r="DG36" s="269">
        <f t="shared" si="62"/>
        <v>8.4123313158946337E-3</v>
      </c>
      <c r="DH36" s="267">
        <f t="shared" si="63"/>
        <v>6.8163224090371614E-3</v>
      </c>
      <c r="DI36" s="272">
        <f t="shared" si="64"/>
        <v>48.046545454545452</v>
      </c>
      <c r="DJ36" s="264">
        <f t="shared" si="65"/>
        <v>1.7209615542744767E-2</v>
      </c>
      <c r="DK36" s="270">
        <f t="shared" si="66"/>
        <v>1.4523021931212587E-2</v>
      </c>
      <c r="DL36" s="270">
        <f t="shared" si="67"/>
        <v>1.3944563483047992E-2</v>
      </c>
      <c r="DM36" s="265">
        <f t="shared" si="68"/>
        <v>98.291727272727272</v>
      </c>
      <c r="DN36" s="269">
        <f t="shared" si="69"/>
        <v>7.4551220670798233E-3</v>
      </c>
      <c r="DO36" s="267">
        <f t="shared" si="70"/>
        <v>6.0407173350303794E-3</v>
      </c>
      <c r="DP36" s="268">
        <f t="shared" si="71"/>
        <v>42.579499999999996</v>
      </c>
      <c r="DQ36" s="264">
        <f t="shared" si="72"/>
        <v>9.252526658367112E-2</v>
      </c>
      <c r="DR36" s="270">
        <f t="shared" si="73"/>
        <v>7.4971137528163673E-2</v>
      </c>
      <c r="DS36" s="265">
        <f t="shared" si="74"/>
        <v>528.45272727272732</v>
      </c>
      <c r="DT36" s="269">
        <f t="shared" si="75"/>
        <v>4.7038205238702668E-2</v>
      </c>
      <c r="DU36" s="268">
        <f t="shared" si="76"/>
        <v>331.56049999999999</v>
      </c>
      <c r="DV36" s="264">
        <f t="shared" si="2"/>
        <v>1.2572824254300135E-2</v>
      </c>
      <c r="DW36" s="265">
        <f t="shared" si="3"/>
        <v>88.622681818181832</v>
      </c>
      <c r="DX36" s="264">
        <f t="shared" si="77"/>
        <v>3.7404975842274896E-5</v>
      </c>
      <c r="DY36" s="270">
        <f t="shared" si="78"/>
        <v>3.15656839134243E-5</v>
      </c>
      <c r="DZ36" s="270">
        <f t="shared" si="79"/>
        <v>3.0308408628824566E-5</v>
      </c>
      <c r="EA36" s="265">
        <f t="shared" si="80"/>
        <v>0.21363636363636362</v>
      </c>
      <c r="EB36" s="273">
        <f>IFERROR(VLOOKUP(A36,'BARNET SCHS PUPIL PREMIUM Nos'!$E$31:$V$117,17,0),0)</f>
        <v>47</v>
      </c>
      <c r="EC36" s="258">
        <f>IFERROR(VLOOKUP(A36,CFR20212022_BenchMarkDataReport!$B$4:$CL$90,36,0),0)</f>
        <v>0</v>
      </c>
      <c r="ED36" s="258">
        <f>IFERROR(VLOOKUP(A36,CFR20212022_BenchMarkDataReport!$B$4:$CL$90,37,0),0)</f>
        <v>0</v>
      </c>
      <c r="EE36" s="258">
        <f>IFERROR(VLOOKUP(A36,CFR20212022_BenchMarkDataReport!$B$4:$CL$90,38,0),0)</f>
        <v>13839</v>
      </c>
      <c r="EF36" s="258">
        <f>IFERROR(VLOOKUP(A36,CFR20212022_BenchMarkDataReport!$B$4:$CL$90,39,0),0)</f>
        <v>81572</v>
      </c>
      <c r="EG36" s="227"/>
    </row>
    <row r="37" spans="1:137" s="5" customFormat="1">
      <c r="A37" s="147">
        <v>2027</v>
      </c>
      <c r="B37" s="298">
        <v>10067</v>
      </c>
      <c r="C37" s="147" t="s">
        <v>62</v>
      </c>
      <c r="D37" s="258">
        <f>IFERROR(VLOOKUP(A37,CFR20212022_BenchMarkDataReport!$B$4:$CL$90,19,0),0)</f>
        <v>1595311.67</v>
      </c>
      <c r="E37" s="258">
        <f>IFERROR(VLOOKUP(A37,CFR20212022_BenchMarkDataReport!$B$4:$CL$90,20,0),0)</f>
        <v>0</v>
      </c>
      <c r="F37" s="258">
        <f>IFERROR(VLOOKUP(A37,CFR20212022_BenchMarkDataReport!$B$4:$CL$90,21,0),0)</f>
        <v>75320.39</v>
      </c>
      <c r="G37" s="258">
        <f>IFERROR(VLOOKUP(A37,CFR20212022_BenchMarkDataReport!$B$4:$CL$90,22,0),0)</f>
        <v>0</v>
      </c>
      <c r="H37" s="258">
        <f>IFERROR(VLOOKUP(A37,CFR20212022_BenchMarkDataReport!$B$4:$CL$90,23,0),0)</f>
        <v>92735.01</v>
      </c>
      <c r="I37" s="258">
        <f>IFERROR(VLOOKUP(A37,CFR20212022_BenchMarkDataReport!$B$4:$CL$90,24,0),0)</f>
        <v>3700</v>
      </c>
      <c r="J37" s="258">
        <f>IFERROR(VLOOKUP(A37,CFR20212022_BenchMarkDataReport!$B$4:$CL$90,25,0),0)</f>
        <v>0</v>
      </c>
      <c r="K37" s="258">
        <f>IFERROR(VLOOKUP(A37,CFR20212022_BenchMarkDataReport!$B$4:$CL$90,26,0),0)</f>
        <v>10214</v>
      </c>
      <c r="L37" s="258">
        <f>IFERROR(VLOOKUP(A37,CFR20212022_BenchMarkDataReport!$B$4:$CL$90,27,0),0)</f>
        <v>14521.5</v>
      </c>
      <c r="M37" s="258">
        <f>IFERROR(VLOOKUP(A37,CFR20212022_BenchMarkDataReport!$B$4:$CL$90,28,0),0)</f>
        <v>60159.78</v>
      </c>
      <c r="N37" s="258">
        <f>IFERROR(VLOOKUP(A37,CFR20212022_BenchMarkDataReport!$B$4:$CL$90,29,0),0)</f>
        <v>0</v>
      </c>
      <c r="O37" s="258">
        <f>IFERROR(VLOOKUP(A37,CFR20212022_BenchMarkDataReport!$B$4:$CL$90,30,0),0)</f>
        <v>0</v>
      </c>
      <c r="P37" s="258">
        <f>IFERROR(VLOOKUP(A37,CFR20212022_BenchMarkDataReport!$B$4:$CL$90,31,0),0)</f>
        <v>3023.99</v>
      </c>
      <c r="Q37" s="258">
        <f>IFERROR(VLOOKUP(A37,CFR20212022_BenchMarkDataReport!$B$4:$CL$90,32,0),0)</f>
        <v>9109.7800000000007</v>
      </c>
      <c r="R37" s="258">
        <f>IFERROR(VLOOKUP(A37,CFR20212022_BenchMarkDataReport!$B$4:$CL$90,33,0),0)</f>
        <v>0</v>
      </c>
      <c r="S37" s="258">
        <f>IFERROR(VLOOKUP(A37,CFR20212022_BenchMarkDataReport!$B$4:$CL$90,34,0),0)</f>
        <v>0</v>
      </c>
      <c r="T37" s="258">
        <f>IFERROR(VLOOKUP(A37,CFR20212022_BenchMarkDataReport!$B$4:$CL$90,35,0),0)</f>
        <v>0</v>
      </c>
      <c r="U37" s="258">
        <f t="shared" si="0"/>
        <v>45625.33</v>
      </c>
      <c r="V37" s="258">
        <f>IFERROR(VLOOKUP(A37,CFR20212022_BenchMarkDataReport!$B$4:$CL$90,40,0),0)</f>
        <v>968088.79</v>
      </c>
      <c r="W37" s="258">
        <f>IFERROR(VLOOKUP(A37,CFR20212022_BenchMarkDataReport!$B$4:$CL$90,41,0),0)</f>
        <v>0</v>
      </c>
      <c r="X37" s="258">
        <f>IFERROR(VLOOKUP(A37,CFR20212022_BenchMarkDataReport!$B$4:$CL$90,42,0),0)</f>
        <v>264163.52</v>
      </c>
      <c r="Y37" s="258">
        <f>IFERROR(VLOOKUP(A37,CFR20212022_BenchMarkDataReport!$B$4:$CL$90,43,0),0)</f>
        <v>36711.58</v>
      </c>
      <c r="Z37" s="258">
        <f>IFERROR(VLOOKUP(A37,CFR20212022_BenchMarkDataReport!$B$4:$CL$90,44,0),0)</f>
        <v>91849</v>
      </c>
      <c r="AA37" s="258">
        <f>IFERROR(VLOOKUP(A37,CFR20212022_BenchMarkDataReport!$B$4:$CL$90,45,0),0)</f>
        <v>0</v>
      </c>
      <c r="AB37" s="258">
        <f>IFERROR(VLOOKUP(A37,CFR20212022_BenchMarkDataReport!$B$4:$CL$90,46,0),0)</f>
        <v>21455.63</v>
      </c>
      <c r="AC37" s="258">
        <f>IFERROR(VLOOKUP(A37,CFR20212022_BenchMarkDataReport!$B$4:$CL$90,47,0),0)</f>
        <v>10743.8</v>
      </c>
      <c r="AD37" s="258">
        <f>IFERROR(VLOOKUP(A37,CFR20212022_BenchMarkDataReport!$B$4:$CL$90,48,0),0)</f>
        <v>3779.65</v>
      </c>
      <c r="AE37" s="258">
        <f>IFERROR(VLOOKUP(A37,CFR20212022_BenchMarkDataReport!$B$4:$CL$90,49,0),0)</f>
        <v>575.64</v>
      </c>
      <c r="AF37" s="258">
        <f>IFERROR(VLOOKUP(A37,CFR20212022_BenchMarkDataReport!$B$4:$CL$90,50,0),0)</f>
        <v>0</v>
      </c>
      <c r="AG37" s="258">
        <f>IFERROR(VLOOKUP(A37,CFR20212022_BenchMarkDataReport!$B$4:$CL$90,51,0),0)</f>
        <v>13085.36</v>
      </c>
      <c r="AH37" s="258">
        <f>IFERROR(VLOOKUP(A37,CFR20212022_BenchMarkDataReport!$B$4:$CL$90,52,0),0)</f>
        <v>1650.91</v>
      </c>
      <c r="AI37" s="258">
        <f>IFERROR(VLOOKUP(A37,CFR20212022_BenchMarkDataReport!$B$4:$CL$90,53,0),0)</f>
        <v>27907.07</v>
      </c>
      <c r="AJ37" s="258">
        <f>IFERROR(VLOOKUP(A37,CFR20212022_BenchMarkDataReport!$B$4:$CL$90,54,0),0)</f>
        <v>4047.49</v>
      </c>
      <c r="AK37" s="258">
        <f>IFERROR(VLOOKUP(A37,CFR20212022_BenchMarkDataReport!$B$4:$CL$90,55,0),0)</f>
        <v>27349.05</v>
      </c>
      <c r="AL37" s="258">
        <f>IFERROR(VLOOKUP(A37,CFR20212022_BenchMarkDataReport!$B$4:$CL$90,56,0),0)</f>
        <v>19542.8</v>
      </c>
      <c r="AM37" s="258">
        <f>IFERROR(VLOOKUP(A37,CFR20212022_BenchMarkDataReport!$B$4:$CL$90,57,0),0)</f>
        <v>15643.51</v>
      </c>
      <c r="AN37" s="258">
        <f>IFERROR(VLOOKUP(A37,CFR20212022_BenchMarkDataReport!$B$4:$CL$90,58,0),0)</f>
        <v>29679.32</v>
      </c>
      <c r="AO37" s="258">
        <f>IFERROR(VLOOKUP(A37,CFR20212022_BenchMarkDataReport!$B$4:$CL$90,59,0),0)</f>
        <v>18475.7</v>
      </c>
      <c r="AP37" s="258">
        <f>IFERROR(VLOOKUP(A37,CFR20212022_BenchMarkDataReport!$B$4:$CL$90,60,0),0)</f>
        <v>0</v>
      </c>
      <c r="AQ37" s="258">
        <f>IFERROR(VLOOKUP(A37,CFR20212022_BenchMarkDataReport!$B$4:$CL$90,61,0),0)</f>
        <v>13136.85</v>
      </c>
      <c r="AR37" s="258">
        <f>IFERROR(VLOOKUP(A37,CFR20212022_BenchMarkDataReport!$B$4:$CL$90,62,0),0)</f>
        <v>9668.3700000000008</v>
      </c>
      <c r="AS37" s="258">
        <f>IFERROR(VLOOKUP(A37,CFR20212022_BenchMarkDataReport!$B$4:$CL$90,63,0),0)</f>
        <v>4205.6400000000003</v>
      </c>
      <c r="AT37" s="258">
        <f>IFERROR(VLOOKUP(A37,CFR20212022_BenchMarkDataReport!$B$4:$CL$90,64,0),0)</f>
        <v>81351.259999999995</v>
      </c>
      <c r="AU37" s="258">
        <f>IFERROR(VLOOKUP(A37,CFR20212022_BenchMarkDataReport!$B$4:$CL$90,65,0),0)</f>
        <v>128724.1</v>
      </c>
      <c r="AV37" s="258">
        <f>IFERROR(VLOOKUP(A37,CFR20212022_BenchMarkDataReport!$B$4:$CL$90,66,0),0)</f>
        <v>111905.69</v>
      </c>
      <c r="AW37" s="258">
        <f>IFERROR(VLOOKUP(A37,CFR20212022_BenchMarkDataReport!$B$4:$CL$90,67,0),0)</f>
        <v>29385.5</v>
      </c>
      <c r="AX37" s="258">
        <f>IFERROR(VLOOKUP(A37,CFR20212022_BenchMarkDataReport!$B$4:$CL$90,68,0),0)</f>
        <v>0</v>
      </c>
      <c r="AY37" s="258">
        <f>IFERROR(VLOOKUP(A37,CFR20212022_BenchMarkDataReport!$B$4:$CL$90,69,0),0)</f>
        <v>0</v>
      </c>
      <c r="AZ37" s="258">
        <f>IFERROR(VLOOKUP(A37,CFR20212022_BenchMarkDataReport!$B$4:$CL$90,70,0),0)</f>
        <v>0</v>
      </c>
      <c r="BA37" s="258">
        <f>IFERROR(VLOOKUP(A37,CFR20212022_BenchMarkDataReport!$B$4:$CL$90,71,0),0)</f>
        <v>0</v>
      </c>
      <c r="BB37" s="258">
        <f>IFERROR(VLOOKUP(A37,CFR20212022_BenchMarkDataReport!$B$4:$CL$90,72,0),0)</f>
        <v>0</v>
      </c>
      <c r="BC37" s="259">
        <f t="shared" si="10"/>
        <v>1909721.45</v>
      </c>
      <c r="BD37" s="260">
        <f t="shared" si="11"/>
        <v>1933126.2300000002</v>
      </c>
      <c r="BE37" s="300">
        <f t="shared" si="12"/>
        <v>-23404.780000000261</v>
      </c>
      <c r="BF37" s="258">
        <f>IFERROR(VLOOKUP(A37,CFR20212022_BenchMarkDataReport!$B$4:$CL$90,16,0),0)</f>
        <v>6864.76</v>
      </c>
      <c r="BG37" s="300">
        <f t="shared" si="13"/>
        <v>-16540.020000000259</v>
      </c>
      <c r="BH37" s="261">
        <f>IFERROR(VLOOKUP(A37,'Pupil Nos BenchmarkData 21-22'!$A$6:$E$94,5,0),0)</f>
        <v>331</v>
      </c>
      <c r="BI37" s="260">
        <f t="shared" si="1"/>
        <v>1670632.0599999998</v>
      </c>
      <c r="BJ37" s="227" t="s">
        <v>183</v>
      </c>
      <c r="BK37" s="262">
        <f t="shared" si="14"/>
        <v>0.8353635395360931</v>
      </c>
      <c r="BL37" s="263">
        <f t="shared" si="15"/>
        <v>4819.6727190332322</v>
      </c>
      <c r="BM37" s="264">
        <f t="shared" si="16"/>
        <v>0</v>
      </c>
      <c r="BN37" s="265">
        <f t="shared" si="17"/>
        <v>0</v>
      </c>
      <c r="BO37" s="262">
        <f t="shared" si="18"/>
        <v>3.9440511075581206E-2</v>
      </c>
      <c r="BP37" s="263">
        <f t="shared" si="19"/>
        <v>227.55404833836857</v>
      </c>
      <c r="BQ37" s="264">
        <f t="shared" si="20"/>
        <v>0</v>
      </c>
      <c r="BR37" s="265">
        <f t="shared" si="21"/>
        <v>0</v>
      </c>
      <c r="BS37" s="262">
        <f t="shared" si="22"/>
        <v>4.8559443053854789E-2</v>
      </c>
      <c r="BT37" s="263">
        <f t="shared" si="23"/>
        <v>280.16619335347428</v>
      </c>
      <c r="BU37" s="264">
        <f t="shared" si="24"/>
        <v>1.9374553288910275E-3</v>
      </c>
      <c r="BV37" s="265">
        <f t="shared" si="25"/>
        <v>11.178247734138973</v>
      </c>
      <c r="BW37" s="262">
        <f t="shared" si="26"/>
        <v>0</v>
      </c>
      <c r="BX37" s="263">
        <f t="shared" si="27"/>
        <v>0</v>
      </c>
      <c r="BY37" s="264">
        <f t="shared" si="28"/>
        <v>1.2952412510211895E-2</v>
      </c>
      <c r="BZ37" s="266">
        <f t="shared" si="29"/>
        <v>74.729607250755294</v>
      </c>
      <c r="CA37" s="267">
        <f t="shared" si="30"/>
        <v>1.5834717675711292E-3</v>
      </c>
      <c r="CB37" s="268">
        <f t="shared" si="31"/>
        <v>9.1359214501510575</v>
      </c>
      <c r="CC37" s="264">
        <f t="shared" si="32"/>
        <v>4.7702140016283529E-3</v>
      </c>
      <c r="CD37" s="265">
        <f t="shared" si="33"/>
        <v>27.521993957703931</v>
      </c>
      <c r="CE37" s="269">
        <f t="shared" si="34"/>
        <v>0.65652570440914459</v>
      </c>
      <c r="CF37" s="267">
        <f t="shared" si="35"/>
        <v>0.57433134554780241</v>
      </c>
      <c r="CG37" s="267">
        <f t="shared" si="36"/>
        <v>0.56737779094746443</v>
      </c>
      <c r="CH37" s="268">
        <f t="shared" si="37"/>
        <v>3313.6341087613296</v>
      </c>
      <c r="CI37" s="264">
        <f t="shared" si="38"/>
        <v>0.15812190267676299</v>
      </c>
      <c r="CJ37" s="270">
        <f t="shared" si="39"/>
        <v>0.13832568095205719</v>
      </c>
      <c r="CK37" s="270">
        <f t="shared" si="40"/>
        <v>0.13665094182701146</v>
      </c>
      <c r="CL37" s="271">
        <f t="shared" si="41"/>
        <v>798.07709969788527</v>
      </c>
      <c r="CM37" s="269">
        <f t="shared" si="42"/>
        <v>2.1974665085740069E-2</v>
      </c>
      <c r="CN37" s="267">
        <f t="shared" si="43"/>
        <v>1.9223526027840346E-2</v>
      </c>
      <c r="CO37" s="267">
        <f t="shared" si="44"/>
        <v>1.8990782614335535E-2</v>
      </c>
      <c r="CP37" s="268">
        <f t="shared" si="45"/>
        <v>110.91111782477341</v>
      </c>
      <c r="CQ37" s="264">
        <f t="shared" si="46"/>
        <v>5.4978592952418269E-2</v>
      </c>
      <c r="CR37" s="270">
        <f t="shared" si="47"/>
        <v>4.8095495811705941E-2</v>
      </c>
      <c r="CS37" s="270">
        <f t="shared" si="48"/>
        <v>4.7513193176215912E-2</v>
      </c>
      <c r="CT37" s="265">
        <f t="shared" si="49"/>
        <v>277.48942598187313</v>
      </c>
      <c r="CU37" s="269">
        <f t="shared" si="50"/>
        <v>0.82739254985924315</v>
      </c>
      <c r="CV37" s="267">
        <f t="shared" si="51"/>
        <v>0.72380635406278759</v>
      </c>
      <c r="CW37" s="267">
        <f t="shared" si="52"/>
        <v>0.71504307300201486</v>
      </c>
      <c r="CX37" s="268">
        <f t="shared" si="53"/>
        <v>4176.0378247734143</v>
      </c>
      <c r="CY37" s="264">
        <f t="shared" si="54"/>
        <v>7.8325804426379805E-3</v>
      </c>
      <c r="CZ37" s="270">
        <f t="shared" si="55"/>
        <v>6.7690147683734025E-3</v>
      </c>
      <c r="DA37" s="265">
        <f t="shared" si="56"/>
        <v>39.532809667673718</v>
      </c>
      <c r="DB37" s="269">
        <f t="shared" si="57"/>
        <v>2.0937535982841634E-3</v>
      </c>
      <c r="DC37" s="268">
        <f t="shared" si="58"/>
        <v>12.228066465256797</v>
      </c>
      <c r="DD37" s="264">
        <f t="shared" si="59"/>
        <v>1.6370480762831763E-2</v>
      </c>
      <c r="DE37" s="270">
        <f t="shared" si="60"/>
        <v>1.4147575867303811E-2</v>
      </c>
      <c r="DF37" s="265">
        <f t="shared" si="61"/>
        <v>82.625528700906344</v>
      </c>
      <c r="DG37" s="269">
        <f t="shared" si="62"/>
        <v>9.3638272451206286E-3</v>
      </c>
      <c r="DH37" s="267">
        <f t="shared" si="63"/>
        <v>8.0923375603878696E-3</v>
      </c>
      <c r="DI37" s="272">
        <f t="shared" si="64"/>
        <v>47.261359516616317</v>
      </c>
      <c r="DJ37" s="264">
        <f t="shared" si="65"/>
        <v>1.7765324101346409E-2</v>
      </c>
      <c r="DK37" s="270">
        <f t="shared" si="66"/>
        <v>1.5541177484287041E-2</v>
      </c>
      <c r="DL37" s="270">
        <f t="shared" si="67"/>
        <v>1.5353017066040222E-2</v>
      </c>
      <c r="DM37" s="265">
        <f t="shared" si="68"/>
        <v>89.665619335347429</v>
      </c>
      <c r="DN37" s="269">
        <f t="shared" si="69"/>
        <v>7.8634011129895369E-3</v>
      </c>
      <c r="DO37" s="267">
        <f t="shared" si="70"/>
        <v>6.7956503802651313E-3</v>
      </c>
      <c r="DP37" s="268">
        <f t="shared" si="71"/>
        <v>39.688368580060427</v>
      </c>
      <c r="DQ37" s="264">
        <f t="shared" si="72"/>
        <v>6.6984043153104592E-2</v>
      </c>
      <c r="DR37" s="270">
        <f t="shared" si="73"/>
        <v>5.7888454599263284E-2</v>
      </c>
      <c r="DS37" s="265">
        <f t="shared" si="74"/>
        <v>338.08365558912385</v>
      </c>
      <c r="DT37" s="269">
        <f t="shared" si="75"/>
        <v>4.2082745936358218E-2</v>
      </c>
      <c r="DU37" s="268">
        <f t="shared" si="76"/>
        <v>245.77419939577038</v>
      </c>
      <c r="DV37" s="264">
        <f t="shared" si="2"/>
        <v>1.4436237823952137E-2</v>
      </c>
      <c r="DW37" s="265">
        <f t="shared" si="3"/>
        <v>84.311389728096671</v>
      </c>
      <c r="DX37" s="264">
        <f t="shared" si="77"/>
        <v>3.8907430041777123E-5</v>
      </c>
      <c r="DY37" s="270">
        <f t="shared" si="78"/>
        <v>3.4036377399436969E-5</v>
      </c>
      <c r="DZ37" s="270">
        <f t="shared" si="79"/>
        <v>3.3624291570447523E-5</v>
      </c>
      <c r="EA37" s="265">
        <f t="shared" si="80"/>
        <v>0.19637462235649547</v>
      </c>
      <c r="EB37" s="273">
        <f>IFERROR(VLOOKUP(A37,'BARNET SCHS PUPIL PREMIUM Nos'!$E$31:$V$117,17,0),0)</f>
        <v>65</v>
      </c>
      <c r="EC37" s="258">
        <f>IFERROR(VLOOKUP(A37,CFR20212022_BenchMarkDataReport!$B$4:$CL$90,36,0),0)</f>
        <v>0</v>
      </c>
      <c r="ED37" s="258">
        <f>IFERROR(VLOOKUP(A37,CFR20212022_BenchMarkDataReport!$B$4:$CL$90,37,0),0)</f>
        <v>0</v>
      </c>
      <c r="EE37" s="258">
        <f>IFERROR(VLOOKUP(A37,CFR20212022_BenchMarkDataReport!$B$4:$CL$90,38,0),0)</f>
        <v>21282.5</v>
      </c>
      <c r="EF37" s="258">
        <f>IFERROR(VLOOKUP(A37,CFR20212022_BenchMarkDataReport!$B$4:$CL$90,39,0),0)</f>
        <v>24342.83</v>
      </c>
      <c r="EG37" s="227"/>
    </row>
    <row r="38" spans="1:137" s="5" customFormat="1">
      <c r="A38" s="147">
        <v>2029</v>
      </c>
      <c r="B38" s="298">
        <v>10069</v>
      </c>
      <c r="C38" s="147" t="s">
        <v>63</v>
      </c>
      <c r="D38" s="258">
        <f>IFERROR(VLOOKUP(A38,CFR20212022_BenchMarkDataReport!$B$4:$CL$90,19,0),0)</f>
        <v>2442052.8199999998</v>
      </c>
      <c r="E38" s="258">
        <f>IFERROR(VLOOKUP(A38,CFR20212022_BenchMarkDataReport!$B$4:$CL$90,20,0),0)</f>
        <v>0</v>
      </c>
      <c r="F38" s="258">
        <f>IFERROR(VLOOKUP(A38,CFR20212022_BenchMarkDataReport!$B$4:$CL$90,21,0),0)</f>
        <v>160985.04999999999</v>
      </c>
      <c r="G38" s="258">
        <f>IFERROR(VLOOKUP(A38,CFR20212022_BenchMarkDataReport!$B$4:$CL$90,22,0),0)</f>
        <v>0</v>
      </c>
      <c r="H38" s="258">
        <f>IFERROR(VLOOKUP(A38,CFR20212022_BenchMarkDataReport!$B$4:$CL$90,23,0),0)</f>
        <v>213920.02</v>
      </c>
      <c r="I38" s="258">
        <f>IFERROR(VLOOKUP(A38,CFR20212022_BenchMarkDataReport!$B$4:$CL$90,24,0),0)</f>
        <v>1166.33</v>
      </c>
      <c r="J38" s="258">
        <f>IFERROR(VLOOKUP(A38,CFR20212022_BenchMarkDataReport!$B$4:$CL$90,25,0),0)</f>
        <v>4267</v>
      </c>
      <c r="K38" s="258">
        <f>IFERROR(VLOOKUP(A38,CFR20212022_BenchMarkDataReport!$B$4:$CL$90,26,0),0)</f>
        <v>0</v>
      </c>
      <c r="L38" s="258">
        <f>IFERROR(VLOOKUP(A38,CFR20212022_BenchMarkDataReport!$B$4:$CL$90,27,0),0)</f>
        <v>41734.730000000003</v>
      </c>
      <c r="M38" s="258">
        <f>IFERROR(VLOOKUP(A38,CFR20212022_BenchMarkDataReport!$B$4:$CL$90,28,0),0)</f>
        <v>35634.25</v>
      </c>
      <c r="N38" s="258">
        <f>IFERROR(VLOOKUP(A38,CFR20212022_BenchMarkDataReport!$B$4:$CL$90,29,0),0)</f>
        <v>0</v>
      </c>
      <c r="O38" s="258">
        <f>IFERROR(VLOOKUP(A38,CFR20212022_BenchMarkDataReport!$B$4:$CL$90,30,0),0)</f>
        <v>0</v>
      </c>
      <c r="P38" s="258">
        <f>IFERROR(VLOOKUP(A38,CFR20212022_BenchMarkDataReport!$B$4:$CL$90,31,0),0)</f>
        <v>9726.2000000000007</v>
      </c>
      <c r="Q38" s="258">
        <f>IFERROR(VLOOKUP(A38,CFR20212022_BenchMarkDataReport!$B$4:$CL$90,32,0),0)</f>
        <v>6533.66</v>
      </c>
      <c r="R38" s="258">
        <f>IFERROR(VLOOKUP(A38,CFR20212022_BenchMarkDataReport!$B$4:$CL$90,33,0),0)</f>
        <v>0</v>
      </c>
      <c r="S38" s="258">
        <f>IFERROR(VLOOKUP(A38,CFR20212022_BenchMarkDataReport!$B$4:$CL$90,34,0),0)</f>
        <v>0</v>
      </c>
      <c r="T38" s="258">
        <f>IFERROR(VLOOKUP(A38,CFR20212022_BenchMarkDataReport!$B$4:$CL$90,35,0),0)</f>
        <v>0</v>
      </c>
      <c r="U38" s="258">
        <f t="shared" si="0"/>
        <v>110975.76000000001</v>
      </c>
      <c r="V38" s="258">
        <f>IFERROR(VLOOKUP(A38,CFR20212022_BenchMarkDataReport!$B$4:$CL$90,40,0),0)</f>
        <v>1193971.0900000001</v>
      </c>
      <c r="W38" s="258">
        <f>IFERROR(VLOOKUP(A38,CFR20212022_BenchMarkDataReport!$B$4:$CL$90,41,0),0)</f>
        <v>0</v>
      </c>
      <c r="X38" s="258">
        <f>IFERROR(VLOOKUP(A38,CFR20212022_BenchMarkDataReport!$B$4:$CL$90,42,0),0)</f>
        <v>780170.16</v>
      </c>
      <c r="Y38" s="258">
        <f>IFERROR(VLOOKUP(A38,CFR20212022_BenchMarkDataReport!$B$4:$CL$90,43,0),0)</f>
        <v>115414.57</v>
      </c>
      <c r="Z38" s="258">
        <f>IFERROR(VLOOKUP(A38,CFR20212022_BenchMarkDataReport!$B$4:$CL$90,44,0),0)</f>
        <v>68279.39</v>
      </c>
      <c r="AA38" s="258">
        <f>IFERROR(VLOOKUP(A38,CFR20212022_BenchMarkDataReport!$B$4:$CL$90,45,0),0)</f>
        <v>81855.89</v>
      </c>
      <c r="AB38" s="258">
        <f>IFERROR(VLOOKUP(A38,CFR20212022_BenchMarkDataReport!$B$4:$CL$90,46,0),0)</f>
        <v>173587.22</v>
      </c>
      <c r="AC38" s="258">
        <f>IFERROR(VLOOKUP(A38,CFR20212022_BenchMarkDataReport!$B$4:$CL$90,47,0),0)</f>
        <v>9894.83</v>
      </c>
      <c r="AD38" s="258">
        <f>IFERROR(VLOOKUP(A38,CFR20212022_BenchMarkDataReport!$B$4:$CL$90,48,0),0)</f>
        <v>3318.94</v>
      </c>
      <c r="AE38" s="258">
        <f>IFERROR(VLOOKUP(A38,CFR20212022_BenchMarkDataReport!$B$4:$CL$90,49,0),0)</f>
        <v>678.96</v>
      </c>
      <c r="AF38" s="258">
        <f>IFERROR(VLOOKUP(A38,CFR20212022_BenchMarkDataReport!$B$4:$CL$90,50,0),0)</f>
        <v>0</v>
      </c>
      <c r="AG38" s="258">
        <f>IFERROR(VLOOKUP(A38,CFR20212022_BenchMarkDataReport!$B$4:$CL$90,51,0),0)</f>
        <v>21077.21</v>
      </c>
      <c r="AH38" s="258">
        <f>IFERROR(VLOOKUP(A38,CFR20212022_BenchMarkDataReport!$B$4:$CL$90,52,0),0)</f>
        <v>-146.24</v>
      </c>
      <c r="AI38" s="258">
        <f>IFERROR(VLOOKUP(A38,CFR20212022_BenchMarkDataReport!$B$4:$CL$90,53,0),0)</f>
        <v>3434.51</v>
      </c>
      <c r="AJ38" s="258">
        <f>IFERROR(VLOOKUP(A38,CFR20212022_BenchMarkDataReport!$B$4:$CL$90,54,0),0)</f>
        <v>2089.25</v>
      </c>
      <c r="AK38" s="258">
        <f>IFERROR(VLOOKUP(A38,CFR20212022_BenchMarkDataReport!$B$4:$CL$90,55,0),0)</f>
        <v>58670.83</v>
      </c>
      <c r="AL38" s="258">
        <f>IFERROR(VLOOKUP(A38,CFR20212022_BenchMarkDataReport!$B$4:$CL$90,56,0),0)</f>
        <v>26112</v>
      </c>
      <c r="AM38" s="258">
        <f>IFERROR(VLOOKUP(A38,CFR20212022_BenchMarkDataReport!$B$4:$CL$90,57,0),0)</f>
        <v>20671.54</v>
      </c>
      <c r="AN38" s="258">
        <f>IFERROR(VLOOKUP(A38,CFR20212022_BenchMarkDataReport!$B$4:$CL$90,58,0),0)</f>
        <v>69482.759999999995</v>
      </c>
      <c r="AO38" s="258">
        <f>IFERROR(VLOOKUP(A38,CFR20212022_BenchMarkDataReport!$B$4:$CL$90,59,0),0)</f>
        <v>18029.32</v>
      </c>
      <c r="AP38" s="258">
        <f>IFERROR(VLOOKUP(A38,CFR20212022_BenchMarkDataReport!$B$4:$CL$90,60,0),0)</f>
        <v>0</v>
      </c>
      <c r="AQ38" s="258">
        <f>IFERROR(VLOOKUP(A38,CFR20212022_BenchMarkDataReport!$B$4:$CL$90,61,0),0)</f>
        <v>22427.439999999999</v>
      </c>
      <c r="AR38" s="258">
        <f>IFERROR(VLOOKUP(A38,CFR20212022_BenchMarkDataReport!$B$4:$CL$90,62,0),0)</f>
        <v>12469.18</v>
      </c>
      <c r="AS38" s="258">
        <f>IFERROR(VLOOKUP(A38,CFR20212022_BenchMarkDataReport!$B$4:$CL$90,63,0),0)</f>
        <v>14101.63</v>
      </c>
      <c r="AT38" s="258">
        <f>IFERROR(VLOOKUP(A38,CFR20212022_BenchMarkDataReport!$B$4:$CL$90,64,0),0)</f>
        <v>87965.77</v>
      </c>
      <c r="AU38" s="258">
        <f>IFERROR(VLOOKUP(A38,CFR20212022_BenchMarkDataReport!$B$4:$CL$90,65,0),0)</f>
        <v>66189.08</v>
      </c>
      <c r="AV38" s="258">
        <f>IFERROR(VLOOKUP(A38,CFR20212022_BenchMarkDataReport!$B$4:$CL$90,66,0),0)</f>
        <v>196968.92</v>
      </c>
      <c r="AW38" s="258">
        <f>IFERROR(VLOOKUP(A38,CFR20212022_BenchMarkDataReport!$B$4:$CL$90,67,0),0)</f>
        <v>41491.94</v>
      </c>
      <c r="AX38" s="258">
        <f>IFERROR(VLOOKUP(A38,CFR20212022_BenchMarkDataReport!$B$4:$CL$90,68,0),0)</f>
        <v>0</v>
      </c>
      <c r="AY38" s="258">
        <f>IFERROR(VLOOKUP(A38,CFR20212022_BenchMarkDataReport!$B$4:$CL$90,69,0),0)</f>
        <v>0</v>
      </c>
      <c r="AZ38" s="258">
        <f>IFERROR(VLOOKUP(A38,CFR20212022_BenchMarkDataReport!$B$4:$CL$90,70,0),0)</f>
        <v>0</v>
      </c>
      <c r="BA38" s="258">
        <f>IFERROR(VLOOKUP(A38,CFR20212022_BenchMarkDataReport!$B$4:$CL$90,71,0),0)</f>
        <v>0</v>
      </c>
      <c r="BB38" s="258">
        <f>IFERROR(VLOOKUP(A38,CFR20212022_BenchMarkDataReport!$B$4:$CL$90,72,0),0)</f>
        <v>0</v>
      </c>
      <c r="BC38" s="259">
        <f t="shared" si="10"/>
        <v>3026995.8200000003</v>
      </c>
      <c r="BD38" s="260">
        <f t="shared" si="11"/>
        <v>3088206.1899999995</v>
      </c>
      <c r="BE38" s="300">
        <f t="shared" si="12"/>
        <v>-61210.36999999918</v>
      </c>
      <c r="BF38" s="258">
        <f>IFERROR(VLOOKUP(A38,CFR20212022_BenchMarkDataReport!$B$4:$CL$90,16,0),0)</f>
        <v>4470.97</v>
      </c>
      <c r="BG38" s="300">
        <f t="shared" si="13"/>
        <v>-56739.399999999179</v>
      </c>
      <c r="BH38" s="261">
        <f>IFERROR(VLOOKUP(A38,'Pupil Nos BenchmarkData 21-22'!$A$6:$E$94,5,0),0)</f>
        <v>454</v>
      </c>
      <c r="BI38" s="260">
        <f t="shared" si="1"/>
        <v>2603037.8699999996</v>
      </c>
      <c r="BJ38" s="227" t="s">
        <v>183</v>
      </c>
      <c r="BK38" s="262">
        <f t="shared" si="14"/>
        <v>0.8067579095632843</v>
      </c>
      <c r="BL38" s="263">
        <f t="shared" si="15"/>
        <v>5378.9709691629951</v>
      </c>
      <c r="BM38" s="264">
        <f t="shared" si="16"/>
        <v>0</v>
      </c>
      <c r="BN38" s="265">
        <f t="shared" si="17"/>
        <v>0</v>
      </c>
      <c r="BO38" s="262">
        <f t="shared" si="18"/>
        <v>5.3183109450081756E-2</v>
      </c>
      <c r="BP38" s="263">
        <f t="shared" si="19"/>
        <v>354.59262114537444</v>
      </c>
      <c r="BQ38" s="264">
        <f t="shared" si="20"/>
        <v>0</v>
      </c>
      <c r="BR38" s="265">
        <f t="shared" si="21"/>
        <v>0</v>
      </c>
      <c r="BS38" s="262">
        <f t="shared" si="22"/>
        <v>7.067073518456328E-2</v>
      </c>
      <c r="BT38" s="263">
        <f t="shared" si="23"/>
        <v>471.18947136563872</v>
      </c>
      <c r="BU38" s="264">
        <f t="shared" si="24"/>
        <v>3.8530941876226306E-4</v>
      </c>
      <c r="BV38" s="265">
        <f t="shared" si="25"/>
        <v>2.5690088105726869</v>
      </c>
      <c r="BW38" s="262">
        <f t="shared" si="26"/>
        <v>1.4096484612918956E-3</v>
      </c>
      <c r="BX38" s="263">
        <f t="shared" si="27"/>
        <v>9.3986784140969171</v>
      </c>
      <c r="BY38" s="264">
        <f t="shared" si="28"/>
        <v>1.378750830253872E-2</v>
      </c>
      <c r="BZ38" s="266">
        <f t="shared" si="29"/>
        <v>91.926718061674009</v>
      </c>
      <c r="CA38" s="267">
        <f t="shared" si="30"/>
        <v>3.2131527687408565E-3</v>
      </c>
      <c r="CB38" s="268">
        <f t="shared" si="31"/>
        <v>21.423348017621148</v>
      </c>
      <c r="CC38" s="264">
        <f t="shared" si="32"/>
        <v>2.1584635026023918E-3</v>
      </c>
      <c r="CD38" s="265">
        <f t="shared" si="33"/>
        <v>14.391321585903084</v>
      </c>
      <c r="CE38" s="269">
        <f t="shared" si="34"/>
        <v>0.48411134717759613</v>
      </c>
      <c r="CF38" s="267">
        <f t="shared" si="35"/>
        <v>0.41630720520783543</v>
      </c>
      <c r="CG38" s="267">
        <f t="shared" si="36"/>
        <v>0.40805571016616621</v>
      </c>
      <c r="CH38" s="268">
        <f t="shared" si="37"/>
        <v>2775.6831938325995</v>
      </c>
      <c r="CI38" s="264">
        <f t="shared" si="38"/>
        <v>0.2997152553911942</v>
      </c>
      <c r="CJ38" s="270">
        <f t="shared" si="39"/>
        <v>0.25773744213495475</v>
      </c>
      <c r="CK38" s="270">
        <f t="shared" si="40"/>
        <v>0.25262890882295658</v>
      </c>
      <c r="CL38" s="271">
        <f t="shared" si="41"/>
        <v>1718.4364757709252</v>
      </c>
      <c r="CM38" s="269">
        <f t="shared" si="42"/>
        <v>4.4338413716585701E-2</v>
      </c>
      <c r="CN38" s="267">
        <f t="shared" si="43"/>
        <v>3.812842067287691E-2</v>
      </c>
      <c r="CO38" s="267">
        <f t="shared" si="44"/>
        <v>3.7372689159722208E-2</v>
      </c>
      <c r="CP38" s="268">
        <f t="shared" si="45"/>
        <v>254.21711453744496</v>
      </c>
      <c r="CQ38" s="264">
        <f t="shared" si="46"/>
        <v>2.6230655645436311E-2</v>
      </c>
      <c r="CR38" s="270">
        <f t="shared" si="47"/>
        <v>2.2556816745125201E-2</v>
      </c>
      <c r="CS38" s="270">
        <f t="shared" si="48"/>
        <v>2.2109725128165749E-2</v>
      </c>
      <c r="CT38" s="265">
        <f t="shared" si="49"/>
        <v>150.39513215859031</v>
      </c>
      <c r="CU38" s="269">
        <f t="shared" si="50"/>
        <v>0.92710073403580584</v>
      </c>
      <c r="CV38" s="267">
        <f t="shared" si="51"/>
        <v>0.79725194995479054</v>
      </c>
      <c r="CW38" s="267">
        <f t="shared" si="52"/>
        <v>0.7814498681514529</v>
      </c>
      <c r="CX38" s="268">
        <f t="shared" si="53"/>
        <v>5315.5910132158597</v>
      </c>
      <c r="CY38" s="264">
        <f t="shared" si="54"/>
        <v>8.0971584174455366E-3</v>
      </c>
      <c r="CZ38" s="270">
        <f t="shared" si="55"/>
        <v>6.8250656540520703E-3</v>
      </c>
      <c r="DA38" s="265">
        <f t="shared" si="56"/>
        <v>46.425572687224665</v>
      </c>
      <c r="DB38" s="269">
        <f t="shared" si="57"/>
        <v>6.7652542332349917E-4</v>
      </c>
      <c r="DC38" s="268">
        <f t="shared" si="58"/>
        <v>4.6018722466960353</v>
      </c>
      <c r="DD38" s="264">
        <f t="shared" si="59"/>
        <v>2.2539368587826195E-2</v>
      </c>
      <c r="DE38" s="270">
        <f t="shared" si="60"/>
        <v>1.899835256790286E-2</v>
      </c>
      <c r="DF38" s="265">
        <f t="shared" si="61"/>
        <v>129.23090308370044</v>
      </c>
      <c r="DG38" s="269">
        <f t="shared" si="62"/>
        <v>7.9413135852687399E-3</v>
      </c>
      <c r="DH38" s="267">
        <f t="shared" si="63"/>
        <v>6.6937046065567284E-3</v>
      </c>
      <c r="DI38" s="272">
        <f t="shared" si="64"/>
        <v>45.532026431718066</v>
      </c>
      <c r="DJ38" s="264">
        <f t="shared" si="65"/>
        <v>2.669295011063362E-2</v>
      </c>
      <c r="DK38" s="270">
        <f t="shared" si="66"/>
        <v>2.2954362718611215E-2</v>
      </c>
      <c r="DL38" s="270">
        <f t="shared" si="67"/>
        <v>2.2499391467122216E-2</v>
      </c>
      <c r="DM38" s="265">
        <f t="shared" si="68"/>
        <v>153.04572687224669</v>
      </c>
      <c r="DN38" s="269">
        <f t="shared" si="69"/>
        <v>8.6158715777730887E-3</v>
      </c>
      <c r="DO38" s="267">
        <f t="shared" si="70"/>
        <v>7.2622871078436646E-3</v>
      </c>
      <c r="DP38" s="268">
        <f t="shared" si="71"/>
        <v>49.399647577092509</v>
      </c>
      <c r="DQ38" s="264">
        <f t="shared" si="72"/>
        <v>7.5668864548636028E-2</v>
      </c>
      <c r="DR38" s="270">
        <f t="shared" si="73"/>
        <v>6.3781013274894077E-2</v>
      </c>
      <c r="DS38" s="265">
        <f t="shared" si="74"/>
        <v>433.85224669603525</v>
      </c>
      <c r="DT38" s="269">
        <f t="shared" si="75"/>
        <v>2.8484422537861702E-2</v>
      </c>
      <c r="DU38" s="268">
        <f t="shared" si="76"/>
        <v>193.75720264317181</v>
      </c>
      <c r="DV38" s="264">
        <f t="shared" si="2"/>
        <v>1.1121375286149533E-3</v>
      </c>
      <c r="DW38" s="265">
        <f t="shared" si="3"/>
        <v>7.5650000000000004</v>
      </c>
      <c r="DX38" s="264">
        <f t="shared" si="77"/>
        <v>5.954581060320879E-5</v>
      </c>
      <c r="DY38" s="270">
        <f t="shared" si="78"/>
        <v>5.1205885048100259E-5</v>
      </c>
      <c r="DZ38" s="270">
        <f t="shared" si="79"/>
        <v>5.0190949199541638E-5</v>
      </c>
      <c r="EA38" s="265">
        <f t="shared" si="80"/>
        <v>0.34140969162995594</v>
      </c>
      <c r="EB38" s="273">
        <f>IFERROR(VLOOKUP(A38,'BARNET SCHS PUPIL PREMIUM Nos'!$E$31:$V$117,17,0),0)</f>
        <v>155</v>
      </c>
      <c r="EC38" s="258">
        <f>IFERROR(VLOOKUP(A38,CFR20212022_BenchMarkDataReport!$B$4:$CL$90,36,0),0)</f>
        <v>0</v>
      </c>
      <c r="ED38" s="258">
        <f>IFERROR(VLOOKUP(A38,CFR20212022_BenchMarkDataReport!$B$4:$CL$90,37,0),0)</f>
        <v>0</v>
      </c>
      <c r="EE38" s="258">
        <f>IFERROR(VLOOKUP(A38,CFR20212022_BenchMarkDataReport!$B$4:$CL$90,38,0),0)</f>
        <v>35268.76</v>
      </c>
      <c r="EF38" s="258">
        <f>IFERROR(VLOOKUP(A38,CFR20212022_BenchMarkDataReport!$B$4:$CL$90,39,0),0)</f>
        <v>75707</v>
      </c>
      <c r="EG38" s="227"/>
    </row>
    <row r="39" spans="1:137" s="5" customFormat="1">
      <c r="A39" s="147">
        <v>3516</v>
      </c>
      <c r="B39" s="298">
        <v>10121</v>
      </c>
      <c r="C39" s="147" t="s">
        <v>64</v>
      </c>
      <c r="D39" s="258">
        <f>IFERROR(VLOOKUP(A39,CFR20212022_BenchMarkDataReport!$B$4:$CL$90,19,0),0)</f>
        <v>1045210.35</v>
      </c>
      <c r="E39" s="258">
        <f>IFERROR(VLOOKUP(A39,CFR20212022_BenchMarkDataReport!$B$4:$CL$90,20,0),0)</f>
        <v>0</v>
      </c>
      <c r="F39" s="258">
        <f>IFERROR(VLOOKUP(A39,CFR20212022_BenchMarkDataReport!$B$4:$CL$90,21,0),0)</f>
        <v>70641.600000000006</v>
      </c>
      <c r="G39" s="258">
        <f>IFERROR(VLOOKUP(A39,CFR20212022_BenchMarkDataReport!$B$4:$CL$90,22,0),0)</f>
        <v>0</v>
      </c>
      <c r="H39" s="258">
        <f>IFERROR(VLOOKUP(A39,CFR20212022_BenchMarkDataReport!$B$4:$CL$90,23,0),0)</f>
        <v>34625.07</v>
      </c>
      <c r="I39" s="258">
        <f>IFERROR(VLOOKUP(A39,CFR20212022_BenchMarkDataReport!$B$4:$CL$90,24,0),0)</f>
        <v>51525</v>
      </c>
      <c r="J39" s="258">
        <f>IFERROR(VLOOKUP(A39,CFR20212022_BenchMarkDataReport!$B$4:$CL$90,25,0),0)</f>
        <v>0</v>
      </c>
      <c r="K39" s="258">
        <f>IFERROR(VLOOKUP(A39,CFR20212022_BenchMarkDataReport!$B$4:$CL$90,26,0),0)</f>
        <v>0</v>
      </c>
      <c r="L39" s="258">
        <f>IFERROR(VLOOKUP(A39,CFR20212022_BenchMarkDataReport!$B$4:$CL$90,27,0),0)</f>
        <v>4240</v>
      </c>
      <c r="M39" s="258">
        <f>IFERROR(VLOOKUP(A39,CFR20212022_BenchMarkDataReport!$B$4:$CL$90,28,0),0)</f>
        <v>114</v>
      </c>
      <c r="N39" s="258">
        <f>IFERROR(VLOOKUP(A39,CFR20212022_BenchMarkDataReport!$B$4:$CL$90,29,0),0)</f>
        <v>0</v>
      </c>
      <c r="O39" s="258">
        <f>IFERROR(VLOOKUP(A39,CFR20212022_BenchMarkDataReport!$B$4:$CL$90,30,0),0)</f>
        <v>0</v>
      </c>
      <c r="P39" s="258">
        <f>IFERROR(VLOOKUP(A39,CFR20212022_BenchMarkDataReport!$B$4:$CL$90,31,0),0)</f>
        <v>449</v>
      </c>
      <c r="Q39" s="258">
        <f>IFERROR(VLOOKUP(A39,CFR20212022_BenchMarkDataReport!$B$4:$CL$90,32,0),0)</f>
        <v>294175.53000000003</v>
      </c>
      <c r="R39" s="258">
        <f>IFERROR(VLOOKUP(A39,CFR20212022_BenchMarkDataReport!$B$4:$CL$90,33,0),0)</f>
        <v>0</v>
      </c>
      <c r="S39" s="258">
        <f>IFERROR(VLOOKUP(A39,CFR20212022_BenchMarkDataReport!$B$4:$CL$90,34,0),0)</f>
        <v>0</v>
      </c>
      <c r="T39" s="258">
        <f>IFERROR(VLOOKUP(A39,CFR20212022_BenchMarkDataReport!$B$4:$CL$90,35,0),0)</f>
        <v>0</v>
      </c>
      <c r="U39" s="258">
        <f t="shared" si="0"/>
        <v>56266.79</v>
      </c>
      <c r="V39" s="258">
        <f>IFERROR(VLOOKUP(A39,CFR20212022_BenchMarkDataReport!$B$4:$CL$90,40,0),0)</f>
        <v>837270.51</v>
      </c>
      <c r="W39" s="258">
        <f>IFERROR(VLOOKUP(A39,CFR20212022_BenchMarkDataReport!$B$4:$CL$90,41,0),0)</f>
        <v>4009.47</v>
      </c>
      <c r="X39" s="258">
        <f>IFERROR(VLOOKUP(A39,CFR20212022_BenchMarkDataReport!$B$4:$CL$90,42,0),0)</f>
        <v>274091.28000000003</v>
      </c>
      <c r="Y39" s="258">
        <f>IFERROR(VLOOKUP(A39,CFR20212022_BenchMarkDataReport!$B$4:$CL$90,43,0),0)</f>
        <v>64063.39</v>
      </c>
      <c r="Z39" s="258">
        <f>IFERROR(VLOOKUP(A39,CFR20212022_BenchMarkDataReport!$B$4:$CL$90,44,0),0)</f>
        <v>103196.9</v>
      </c>
      <c r="AA39" s="258">
        <f>IFERROR(VLOOKUP(A39,CFR20212022_BenchMarkDataReport!$B$4:$CL$90,45,0),0)</f>
        <v>0</v>
      </c>
      <c r="AB39" s="258">
        <f>IFERROR(VLOOKUP(A39,CFR20212022_BenchMarkDataReport!$B$4:$CL$90,46,0),0)</f>
        <v>33756.07</v>
      </c>
      <c r="AC39" s="258">
        <f>IFERROR(VLOOKUP(A39,CFR20212022_BenchMarkDataReport!$B$4:$CL$90,47,0),0)</f>
        <v>2399.5</v>
      </c>
      <c r="AD39" s="258">
        <f>IFERROR(VLOOKUP(A39,CFR20212022_BenchMarkDataReport!$B$4:$CL$90,48,0),0)</f>
        <v>3105</v>
      </c>
      <c r="AE39" s="258">
        <f>IFERROR(VLOOKUP(A39,CFR20212022_BenchMarkDataReport!$B$4:$CL$90,49,0),0)</f>
        <v>7182.26</v>
      </c>
      <c r="AF39" s="258">
        <f>IFERROR(VLOOKUP(A39,CFR20212022_BenchMarkDataReport!$B$4:$CL$90,50,0),0)</f>
        <v>778.27</v>
      </c>
      <c r="AG39" s="258">
        <f>IFERROR(VLOOKUP(A39,CFR20212022_BenchMarkDataReport!$B$4:$CL$90,51,0),0)</f>
        <v>5120.8900000000003</v>
      </c>
      <c r="AH39" s="258">
        <f>IFERROR(VLOOKUP(A39,CFR20212022_BenchMarkDataReport!$B$4:$CL$90,52,0),0)</f>
        <v>47.78</v>
      </c>
      <c r="AI39" s="258">
        <f>IFERROR(VLOOKUP(A39,CFR20212022_BenchMarkDataReport!$B$4:$CL$90,53,0),0)</f>
        <v>869.31</v>
      </c>
      <c r="AJ39" s="258">
        <f>IFERROR(VLOOKUP(A39,CFR20212022_BenchMarkDataReport!$B$4:$CL$90,54,0),0)</f>
        <v>3664.97</v>
      </c>
      <c r="AK39" s="258">
        <f>IFERROR(VLOOKUP(A39,CFR20212022_BenchMarkDataReport!$B$4:$CL$90,55,0),0)</f>
        <v>16847.560000000001</v>
      </c>
      <c r="AL39" s="258">
        <f>IFERROR(VLOOKUP(A39,CFR20212022_BenchMarkDataReport!$B$4:$CL$90,56,0),0)</f>
        <v>16598.400000000001</v>
      </c>
      <c r="AM39" s="258">
        <f>IFERROR(VLOOKUP(A39,CFR20212022_BenchMarkDataReport!$B$4:$CL$90,57,0),0)</f>
        <v>57628.43</v>
      </c>
      <c r="AN39" s="258">
        <f>IFERROR(VLOOKUP(A39,CFR20212022_BenchMarkDataReport!$B$4:$CL$90,58,0),0)</f>
        <v>33449.730000000003</v>
      </c>
      <c r="AO39" s="258">
        <f>IFERROR(VLOOKUP(A39,CFR20212022_BenchMarkDataReport!$B$4:$CL$90,59,0),0)</f>
        <v>15322.23</v>
      </c>
      <c r="AP39" s="258">
        <f>IFERROR(VLOOKUP(A39,CFR20212022_BenchMarkDataReport!$B$4:$CL$90,60,0),0)</f>
        <v>0</v>
      </c>
      <c r="AQ39" s="258">
        <f>IFERROR(VLOOKUP(A39,CFR20212022_BenchMarkDataReport!$B$4:$CL$90,61,0),0)</f>
        <v>7057.54</v>
      </c>
      <c r="AR39" s="258">
        <f>IFERROR(VLOOKUP(A39,CFR20212022_BenchMarkDataReport!$B$4:$CL$90,62,0),0)</f>
        <v>5376.25</v>
      </c>
      <c r="AS39" s="258">
        <f>IFERROR(VLOOKUP(A39,CFR20212022_BenchMarkDataReport!$B$4:$CL$90,63,0),0)</f>
        <v>45.99</v>
      </c>
      <c r="AT39" s="258">
        <f>IFERROR(VLOOKUP(A39,CFR20212022_BenchMarkDataReport!$B$4:$CL$90,64,0),0)</f>
        <v>29398.41</v>
      </c>
      <c r="AU39" s="258">
        <f>IFERROR(VLOOKUP(A39,CFR20212022_BenchMarkDataReport!$B$4:$CL$90,65,0),0)</f>
        <v>13721.17</v>
      </c>
      <c r="AV39" s="258">
        <f>IFERROR(VLOOKUP(A39,CFR20212022_BenchMarkDataReport!$B$4:$CL$90,66,0),0)</f>
        <v>17645.78</v>
      </c>
      <c r="AW39" s="258">
        <f>IFERROR(VLOOKUP(A39,CFR20212022_BenchMarkDataReport!$B$4:$CL$90,67,0),0)</f>
        <v>17214.22</v>
      </c>
      <c r="AX39" s="258">
        <f>IFERROR(VLOOKUP(A39,CFR20212022_BenchMarkDataReport!$B$4:$CL$90,68,0),0)</f>
        <v>0</v>
      </c>
      <c r="AY39" s="258">
        <f>IFERROR(VLOOKUP(A39,CFR20212022_BenchMarkDataReport!$B$4:$CL$90,69,0),0)</f>
        <v>0</v>
      </c>
      <c r="AZ39" s="258">
        <f>IFERROR(VLOOKUP(A39,CFR20212022_BenchMarkDataReport!$B$4:$CL$90,70,0),0)</f>
        <v>0</v>
      </c>
      <c r="BA39" s="258">
        <f>IFERROR(VLOOKUP(A39,CFR20212022_BenchMarkDataReport!$B$4:$CL$90,71,0),0)</f>
        <v>0</v>
      </c>
      <c r="BB39" s="258">
        <f>IFERROR(VLOOKUP(A39,CFR20212022_BenchMarkDataReport!$B$4:$CL$90,72,0),0)</f>
        <v>0</v>
      </c>
      <c r="BC39" s="259">
        <f t="shared" si="10"/>
        <v>1557247.34</v>
      </c>
      <c r="BD39" s="260">
        <f t="shared" ref="BD39:BD68" si="81">SUM(V39:AZ39)</f>
        <v>1569861.3099999996</v>
      </c>
      <c r="BE39" s="300">
        <f t="shared" ref="BE39:BE68" si="82">BC39-BD39</f>
        <v>-12613.969999999506</v>
      </c>
      <c r="BF39" s="258">
        <f>IFERROR(VLOOKUP(A39,CFR20212022_BenchMarkDataReport!$B$4:$CL$90,16,0),0)</f>
        <v>-13176.67</v>
      </c>
      <c r="BG39" s="300">
        <f t="shared" ref="BG39:BG68" si="83">SUM(BE39:BF39)</f>
        <v>-25790.639999999505</v>
      </c>
      <c r="BH39" s="261">
        <f>IFERROR(VLOOKUP(A39,'Pupil Nos BenchmarkData 21-22'!$A$6:$E$94,5,0),0)</f>
        <v>214</v>
      </c>
      <c r="BI39" s="260">
        <f t="shared" si="1"/>
        <v>1115851.95</v>
      </c>
      <c r="BJ39" s="227" t="s">
        <v>183</v>
      </c>
      <c r="BK39" s="262">
        <f t="shared" si="14"/>
        <v>0.6711909682889553</v>
      </c>
      <c r="BL39" s="263">
        <f t="shared" si="15"/>
        <v>4884.1605140186912</v>
      </c>
      <c r="BM39" s="264">
        <f t="shared" si="16"/>
        <v>0</v>
      </c>
      <c r="BN39" s="265">
        <f t="shared" si="17"/>
        <v>0</v>
      </c>
      <c r="BO39" s="262">
        <f t="shared" si="18"/>
        <v>4.5363121313792068E-2</v>
      </c>
      <c r="BP39" s="263">
        <f t="shared" si="19"/>
        <v>330.1009345794393</v>
      </c>
      <c r="BQ39" s="264">
        <f t="shared" si="20"/>
        <v>0</v>
      </c>
      <c r="BR39" s="265">
        <f t="shared" si="21"/>
        <v>0</v>
      </c>
      <c r="BS39" s="262">
        <f t="shared" si="22"/>
        <v>2.2234791552124274E-2</v>
      </c>
      <c r="BT39" s="263">
        <f t="shared" si="23"/>
        <v>161.79939252336447</v>
      </c>
      <c r="BU39" s="264">
        <f t="shared" si="24"/>
        <v>3.3087229418545673E-2</v>
      </c>
      <c r="BV39" s="265">
        <f t="shared" si="25"/>
        <v>240.77102803738319</v>
      </c>
      <c r="BW39" s="262">
        <f t="shared" si="26"/>
        <v>0</v>
      </c>
      <c r="BX39" s="263">
        <f t="shared" si="27"/>
        <v>0</v>
      </c>
      <c r="BY39" s="264">
        <f t="shared" si="28"/>
        <v>2.7227530855824097E-3</v>
      </c>
      <c r="BZ39" s="266">
        <f t="shared" si="29"/>
        <v>19.813084112149532</v>
      </c>
      <c r="CA39" s="267">
        <f t="shared" si="30"/>
        <v>2.883292772232316E-4</v>
      </c>
      <c r="CB39" s="268">
        <f t="shared" si="31"/>
        <v>2.0981308411214954</v>
      </c>
      <c r="CC39" s="264">
        <f t="shared" si="32"/>
        <v>0.18890738962508039</v>
      </c>
      <c r="CD39" s="265">
        <f t="shared" si="33"/>
        <v>1374.6520093457946</v>
      </c>
      <c r="CE39" s="269">
        <f t="shared" si="34"/>
        <v>0.76623171201161588</v>
      </c>
      <c r="CF39" s="267">
        <f t="shared" si="35"/>
        <v>0.54904646682523794</v>
      </c>
      <c r="CG39" s="267">
        <f t="shared" si="36"/>
        <v>0.54463483146801051</v>
      </c>
      <c r="CH39" s="268">
        <f t="shared" si="37"/>
        <v>3995.332476635514</v>
      </c>
      <c r="CI39" s="264">
        <f t="shared" si="38"/>
        <v>0.24563409151187129</v>
      </c>
      <c r="CJ39" s="270">
        <f t="shared" si="39"/>
        <v>0.17601011281868686</v>
      </c>
      <c r="CK39" s="270">
        <f t="shared" si="40"/>
        <v>0.17459585649639336</v>
      </c>
      <c r="CL39" s="271">
        <f t="shared" si="41"/>
        <v>1280.8003738317759</v>
      </c>
      <c r="CM39" s="269">
        <f t="shared" si="42"/>
        <v>5.7412087687797653E-2</v>
      </c>
      <c r="CN39" s="267">
        <f t="shared" si="43"/>
        <v>4.1138866225322944E-2</v>
      </c>
      <c r="CO39" s="267">
        <f t="shared" si="44"/>
        <v>4.08083119138722E-2</v>
      </c>
      <c r="CP39" s="268">
        <f t="shared" si="45"/>
        <v>299.3616355140187</v>
      </c>
      <c r="CQ39" s="264">
        <f t="shared" si="46"/>
        <v>9.2482609364082757E-2</v>
      </c>
      <c r="CR39" s="270">
        <f t="shared" si="47"/>
        <v>6.6268791956966833E-2</v>
      </c>
      <c r="CS39" s="270">
        <f t="shared" si="48"/>
        <v>6.5736316541236392E-2</v>
      </c>
      <c r="CT39" s="265">
        <f t="shared" si="49"/>
        <v>482.22850467289715</v>
      </c>
      <c r="CU39" s="269">
        <f t="shared" si="50"/>
        <v>1.179715301837309</v>
      </c>
      <c r="CV39" s="267">
        <f t="shared" si="51"/>
        <v>0.84532982409846325</v>
      </c>
      <c r="CW39" s="267">
        <f t="shared" si="52"/>
        <v>0.83853752660481851</v>
      </c>
      <c r="CX39" s="268">
        <f t="shared" si="53"/>
        <v>6151.3440186915886</v>
      </c>
      <c r="CY39" s="264">
        <f t="shared" si="54"/>
        <v>4.5892199229476639E-3</v>
      </c>
      <c r="CZ39" s="270">
        <f t="shared" si="55"/>
        <v>3.2620015331163246E-3</v>
      </c>
      <c r="DA39" s="265">
        <f t="shared" si="56"/>
        <v>23.929392523364488</v>
      </c>
      <c r="DB39" s="269">
        <f t="shared" si="57"/>
        <v>2.3345820275040736E-3</v>
      </c>
      <c r="DC39" s="268">
        <f t="shared" si="58"/>
        <v>17.126028037383175</v>
      </c>
      <c r="DD39" s="264">
        <f t="shared" si="59"/>
        <v>1.5098382899272615E-2</v>
      </c>
      <c r="DE39" s="270">
        <f t="shared" si="60"/>
        <v>1.0731877964429868E-2</v>
      </c>
      <c r="DF39" s="265">
        <f t="shared" si="61"/>
        <v>78.726915887850467</v>
      </c>
      <c r="DG39" s="269">
        <f t="shared" si="62"/>
        <v>5.1645229458979751E-2</v>
      </c>
      <c r="DH39" s="267">
        <f t="shared" si="63"/>
        <v>3.6709249175648523E-2</v>
      </c>
      <c r="DI39" s="272">
        <f t="shared" si="64"/>
        <v>269.29172897196264</v>
      </c>
      <c r="DJ39" s="264">
        <f t="shared" si="65"/>
        <v>2.9976853112099688E-2</v>
      </c>
      <c r="DK39" s="270">
        <f t="shared" si="66"/>
        <v>2.1480036690895873E-2</v>
      </c>
      <c r="DL39" s="270">
        <f t="shared" si="67"/>
        <v>2.130744275747519E-2</v>
      </c>
      <c r="DM39" s="265">
        <f t="shared" si="68"/>
        <v>156.3071495327103</v>
      </c>
      <c r="DN39" s="269">
        <f t="shared" si="69"/>
        <v>6.3247996295565916E-3</v>
      </c>
      <c r="DO39" s="267">
        <f t="shared" si="70"/>
        <v>4.4956455420893209E-3</v>
      </c>
      <c r="DP39" s="268">
        <f t="shared" si="71"/>
        <v>32.97915887850467</v>
      </c>
      <c r="DQ39" s="264">
        <f t="shared" si="72"/>
        <v>1.581372869402612E-2</v>
      </c>
      <c r="DR39" s="270">
        <f t="shared" si="73"/>
        <v>1.1240343263189283E-2</v>
      </c>
      <c r="DS39" s="265">
        <f t="shared" si="74"/>
        <v>82.456915887850457</v>
      </c>
      <c r="DT39" s="269">
        <f t="shared" si="75"/>
        <v>1.8726756187143697E-2</v>
      </c>
      <c r="DU39" s="268">
        <f t="shared" si="76"/>
        <v>137.37574766355141</v>
      </c>
      <c r="DV39" s="264">
        <f t="shared" si="2"/>
        <v>5.5374955383797578E-4</v>
      </c>
      <c r="DW39" s="265">
        <f t="shared" si="3"/>
        <v>4.0621962616822431</v>
      </c>
      <c r="DX39" s="264">
        <f t="shared" si="77"/>
        <v>2.150822965358442E-5</v>
      </c>
      <c r="DY39" s="270">
        <f t="shared" si="78"/>
        <v>1.5411809918390999E-5</v>
      </c>
      <c r="DZ39" s="270">
        <f t="shared" si="79"/>
        <v>1.5287974706504491E-5</v>
      </c>
      <c r="EA39" s="265">
        <f t="shared" si="80"/>
        <v>0.11214953271028037</v>
      </c>
      <c r="EB39" s="273">
        <f>IFERROR(VLOOKUP(A39,'BARNET SCHS PUPIL PREMIUM Nos'!$E$31:$V$117,17,0),0)</f>
        <v>24</v>
      </c>
      <c r="EC39" s="258">
        <f>IFERROR(VLOOKUP(A39,CFR20212022_BenchMarkDataReport!$B$4:$CL$90,36,0),0)</f>
        <v>0</v>
      </c>
      <c r="ED39" s="258">
        <f>IFERROR(VLOOKUP(A39,CFR20212022_BenchMarkDataReport!$B$4:$CL$90,37,0),0)</f>
        <v>0</v>
      </c>
      <c r="EE39" s="258">
        <f>IFERROR(VLOOKUP(A39,CFR20212022_BenchMarkDataReport!$B$4:$CL$90,38,0),0)</f>
        <v>10128.120000000001</v>
      </c>
      <c r="EF39" s="258">
        <f>IFERROR(VLOOKUP(A39,CFR20212022_BenchMarkDataReport!$B$4:$CL$90,39,0),0)</f>
        <v>46138.67</v>
      </c>
      <c r="EG39" s="227"/>
    </row>
    <row r="40" spans="1:137" s="5" customFormat="1">
      <c r="A40" s="147">
        <v>2031</v>
      </c>
      <c r="B40" s="298">
        <v>10071</v>
      </c>
      <c r="C40" s="147" t="s">
        <v>65</v>
      </c>
      <c r="D40" s="258">
        <f>IFERROR(VLOOKUP(A40,CFR20212022_BenchMarkDataReport!$B$4:$CL$90,19,0),0)</f>
        <v>1150979.49</v>
      </c>
      <c r="E40" s="258">
        <f>IFERROR(VLOOKUP(A40,CFR20212022_BenchMarkDataReport!$B$4:$CL$90,20,0),0)</f>
        <v>0</v>
      </c>
      <c r="F40" s="258">
        <f>IFERROR(VLOOKUP(A40,CFR20212022_BenchMarkDataReport!$B$4:$CL$90,21,0),0)</f>
        <v>43064.38</v>
      </c>
      <c r="G40" s="258">
        <f>IFERROR(VLOOKUP(A40,CFR20212022_BenchMarkDataReport!$B$4:$CL$90,22,0),0)</f>
        <v>0</v>
      </c>
      <c r="H40" s="258">
        <f>IFERROR(VLOOKUP(A40,CFR20212022_BenchMarkDataReport!$B$4:$CL$90,23,0),0)</f>
        <v>82045.05</v>
      </c>
      <c r="I40" s="258">
        <f>IFERROR(VLOOKUP(A40,CFR20212022_BenchMarkDataReport!$B$4:$CL$90,24,0),0)</f>
        <v>0</v>
      </c>
      <c r="J40" s="258">
        <f>IFERROR(VLOOKUP(A40,CFR20212022_BenchMarkDataReport!$B$4:$CL$90,25,0),0)</f>
        <v>7969.5</v>
      </c>
      <c r="K40" s="258">
        <f>IFERROR(VLOOKUP(A40,CFR20212022_BenchMarkDataReport!$B$4:$CL$90,26,0),0)</f>
        <v>14558.48</v>
      </c>
      <c r="L40" s="258">
        <f>IFERROR(VLOOKUP(A40,CFR20212022_BenchMarkDataReport!$B$4:$CL$90,27,0),0)</f>
        <v>24785.42</v>
      </c>
      <c r="M40" s="258">
        <f>IFERROR(VLOOKUP(A40,CFR20212022_BenchMarkDataReport!$B$4:$CL$90,28,0),0)</f>
        <v>11385.43</v>
      </c>
      <c r="N40" s="258">
        <f>IFERROR(VLOOKUP(A40,CFR20212022_BenchMarkDataReport!$B$4:$CL$90,29,0),0)</f>
        <v>0</v>
      </c>
      <c r="O40" s="258">
        <f>IFERROR(VLOOKUP(A40,CFR20212022_BenchMarkDataReport!$B$4:$CL$90,30,0),0)</f>
        <v>0</v>
      </c>
      <c r="P40" s="258">
        <f>IFERROR(VLOOKUP(A40,CFR20212022_BenchMarkDataReport!$B$4:$CL$90,31,0),0)</f>
        <v>16871.099999999999</v>
      </c>
      <c r="Q40" s="258">
        <f>IFERROR(VLOOKUP(A40,CFR20212022_BenchMarkDataReport!$B$4:$CL$90,32,0),0)</f>
        <v>7425.02</v>
      </c>
      <c r="R40" s="258">
        <f>IFERROR(VLOOKUP(A40,CFR20212022_BenchMarkDataReport!$B$4:$CL$90,33,0),0)</f>
        <v>0</v>
      </c>
      <c r="S40" s="258">
        <f>IFERROR(VLOOKUP(A40,CFR20212022_BenchMarkDataReport!$B$4:$CL$90,34,0),0)</f>
        <v>0</v>
      </c>
      <c r="T40" s="258">
        <f>IFERROR(VLOOKUP(A40,CFR20212022_BenchMarkDataReport!$B$4:$CL$90,35,0),0)</f>
        <v>0</v>
      </c>
      <c r="U40" s="258">
        <f t="shared" si="0"/>
        <v>52217.16</v>
      </c>
      <c r="V40" s="258">
        <f>IFERROR(VLOOKUP(A40,CFR20212022_BenchMarkDataReport!$B$4:$CL$90,40,0),0)</f>
        <v>688004.88</v>
      </c>
      <c r="W40" s="258">
        <f>IFERROR(VLOOKUP(A40,CFR20212022_BenchMarkDataReport!$B$4:$CL$90,41,0),0)</f>
        <v>0</v>
      </c>
      <c r="X40" s="258">
        <f>IFERROR(VLOOKUP(A40,CFR20212022_BenchMarkDataReport!$B$4:$CL$90,42,0),0)</f>
        <v>310891.23</v>
      </c>
      <c r="Y40" s="258">
        <f>IFERROR(VLOOKUP(A40,CFR20212022_BenchMarkDataReport!$B$4:$CL$90,43,0),0)</f>
        <v>35349.18</v>
      </c>
      <c r="Z40" s="258">
        <f>IFERROR(VLOOKUP(A40,CFR20212022_BenchMarkDataReport!$B$4:$CL$90,44,0),0)</f>
        <v>80271.520000000004</v>
      </c>
      <c r="AA40" s="258">
        <f>IFERROR(VLOOKUP(A40,CFR20212022_BenchMarkDataReport!$B$4:$CL$90,45,0),0)</f>
        <v>0</v>
      </c>
      <c r="AB40" s="258">
        <f>IFERROR(VLOOKUP(A40,CFR20212022_BenchMarkDataReport!$B$4:$CL$90,46,0),0)</f>
        <v>30723.01</v>
      </c>
      <c r="AC40" s="258">
        <f>IFERROR(VLOOKUP(A40,CFR20212022_BenchMarkDataReport!$B$4:$CL$90,47,0),0)</f>
        <v>20417.66</v>
      </c>
      <c r="AD40" s="258">
        <f>IFERROR(VLOOKUP(A40,CFR20212022_BenchMarkDataReport!$B$4:$CL$90,48,0),0)</f>
        <v>2072.5</v>
      </c>
      <c r="AE40" s="258">
        <f>IFERROR(VLOOKUP(A40,CFR20212022_BenchMarkDataReport!$B$4:$CL$90,49,0),0)</f>
        <v>305.04000000000002</v>
      </c>
      <c r="AF40" s="258">
        <f>IFERROR(VLOOKUP(A40,CFR20212022_BenchMarkDataReport!$B$4:$CL$90,50,0),0)</f>
        <v>0</v>
      </c>
      <c r="AG40" s="258">
        <f>IFERROR(VLOOKUP(A40,CFR20212022_BenchMarkDataReport!$B$4:$CL$90,51,0),0)</f>
        <v>4677.83</v>
      </c>
      <c r="AH40" s="258">
        <f>IFERROR(VLOOKUP(A40,CFR20212022_BenchMarkDataReport!$B$4:$CL$90,52,0),0)</f>
        <v>2655.56</v>
      </c>
      <c r="AI40" s="258">
        <f>IFERROR(VLOOKUP(A40,CFR20212022_BenchMarkDataReport!$B$4:$CL$90,53,0),0)</f>
        <v>24611.69</v>
      </c>
      <c r="AJ40" s="258">
        <f>IFERROR(VLOOKUP(A40,CFR20212022_BenchMarkDataReport!$B$4:$CL$90,54,0),0)</f>
        <v>3729.82</v>
      </c>
      <c r="AK40" s="258">
        <f>IFERROR(VLOOKUP(A40,CFR20212022_BenchMarkDataReport!$B$4:$CL$90,55,0),0)</f>
        <v>11718.59</v>
      </c>
      <c r="AL40" s="258">
        <f>IFERROR(VLOOKUP(A40,CFR20212022_BenchMarkDataReport!$B$4:$CL$90,56,0),0)</f>
        <v>4019.2</v>
      </c>
      <c r="AM40" s="258">
        <f>IFERROR(VLOOKUP(A40,CFR20212022_BenchMarkDataReport!$B$4:$CL$90,57,0),0)</f>
        <v>11475.73</v>
      </c>
      <c r="AN40" s="258">
        <f>IFERROR(VLOOKUP(A40,CFR20212022_BenchMarkDataReport!$B$4:$CL$90,58,0),0)</f>
        <v>32600.55</v>
      </c>
      <c r="AO40" s="258">
        <f>IFERROR(VLOOKUP(A40,CFR20212022_BenchMarkDataReport!$B$4:$CL$90,59,0),0)</f>
        <v>7907.98</v>
      </c>
      <c r="AP40" s="258">
        <f>IFERROR(VLOOKUP(A40,CFR20212022_BenchMarkDataReport!$B$4:$CL$90,60,0),0)</f>
        <v>0</v>
      </c>
      <c r="AQ40" s="258">
        <f>IFERROR(VLOOKUP(A40,CFR20212022_BenchMarkDataReport!$B$4:$CL$90,61,0),0)</f>
        <v>8072.09</v>
      </c>
      <c r="AR40" s="258">
        <f>IFERROR(VLOOKUP(A40,CFR20212022_BenchMarkDataReport!$B$4:$CL$90,62,0),0)</f>
        <v>5620.82</v>
      </c>
      <c r="AS40" s="258">
        <f>IFERROR(VLOOKUP(A40,CFR20212022_BenchMarkDataReport!$B$4:$CL$90,63,0),0)</f>
        <v>7809.73</v>
      </c>
      <c r="AT40" s="258">
        <f>IFERROR(VLOOKUP(A40,CFR20212022_BenchMarkDataReport!$B$4:$CL$90,64,0),0)</f>
        <v>44983.54</v>
      </c>
      <c r="AU40" s="258">
        <f>IFERROR(VLOOKUP(A40,CFR20212022_BenchMarkDataReport!$B$4:$CL$90,65,0),0)</f>
        <v>32769.9</v>
      </c>
      <c r="AV40" s="258">
        <f>IFERROR(VLOOKUP(A40,CFR20212022_BenchMarkDataReport!$B$4:$CL$90,66,0),0)</f>
        <v>79344.77</v>
      </c>
      <c r="AW40" s="258">
        <f>IFERROR(VLOOKUP(A40,CFR20212022_BenchMarkDataReport!$B$4:$CL$90,67,0),0)</f>
        <v>18440</v>
      </c>
      <c r="AX40" s="258">
        <f>IFERROR(VLOOKUP(A40,CFR20212022_BenchMarkDataReport!$B$4:$CL$90,68,0),0)</f>
        <v>0</v>
      </c>
      <c r="AY40" s="258">
        <f>IFERROR(VLOOKUP(A40,CFR20212022_BenchMarkDataReport!$B$4:$CL$90,69,0),0)</f>
        <v>0</v>
      </c>
      <c r="AZ40" s="258">
        <f>IFERROR(VLOOKUP(A40,CFR20212022_BenchMarkDataReport!$B$4:$CL$90,70,0),0)</f>
        <v>0</v>
      </c>
      <c r="BA40" s="258">
        <f>IFERROR(VLOOKUP(A40,CFR20212022_BenchMarkDataReport!$B$4:$CL$90,71,0),0)</f>
        <v>0</v>
      </c>
      <c r="BB40" s="258">
        <f>IFERROR(VLOOKUP(A40,CFR20212022_BenchMarkDataReport!$B$4:$CL$90,72,0),0)</f>
        <v>0</v>
      </c>
      <c r="BC40" s="259">
        <f t="shared" si="10"/>
        <v>1411301.0299999998</v>
      </c>
      <c r="BD40" s="260">
        <f t="shared" si="81"/>
        <v>1468472.8200000003</v>
      </c>
      <c r="BE40" s="300">
        <f t="shared" si="82"/>
        <v>-57171.790000000503</v>
      </c>
      <c r="BF40" s="258">
        <f>IFERROR(VLOOKUP(A40,CFR20212022_BenchMarkDataReport!$B$4:$CL$90,16,0),0)</f>
        <v>15444.26</v>
      </c>
      <c r="BG40" s="300">
        <f t="shared" si="83"/>
        <v>-41727.530000000501</v>
      </c>
      <c r="BH40" s="261">
        <f>IFERROR(VLOOKUP(A40,'Pupil Nos BenchmarkData 21-22'!$A$6:$E$94,5,0),0)</f>
        <v>208</v>
      </c>
      <c r="BI40" s="260">
        <f t="shared" si="1"/>
        <v>1194043.8699999999</v>
      </c>
      <c r="BJ40" s="227" t="s">
        <v>183</v>
      </c>
      <c r="BK40" s="262">
        <f t="shared" si="14"/>
        <v>0.81554499396914648</v>
      </c>
      <c r="BL40" s="263">
        <f t="shared" si="15"/>
        <v>5533.555240384615</v>
      </c>
      <c r="BM40" s="264">
        <f t="shared" si="16"/>
        <v>0</v>
      </c>
      <c r="BN40" s="265">
        <f t="shared" si="17"/>
        <v>0</v>
      </c>
      <c r="BO40" s="262">
        <f t="shared" si="18"/>
        <v>3.0513957748617249E-2</v>
      </c>
      <c r="BP40" s="263">
        <f t="shared" si="19"/>
        <v>207.04028846153844</v>
      </c>
      <c r="BQ40" s="264">
        <f t="shared" si="20"/>
        <v>0</v>
      </c>
      <c r="BR40" s="265">
        <f t="shared" si="21"/>
        <v>0</v>
      </c>
      <c r="BS40" s="262">
        <f t="shared" si="22"/>
        <v>5.8134337222158772E-2</v>
      </c>
      <c r="BT40" s="263">
        <f t="shared" si="23"/>
        <v>394.4473557692308</v>
      </c>
      <c r="BU40" s="264">
        <f t="shared" si="24"/>
        <v>0</v>
      </c>
      <c r="BV40" s="265">
        <f t="shared" si="25"/>
        <v>0</v>
      </c>
      <c r="BW40" s="262">
        <f t="shared" si="26"/>
        <v>5.6469171570008711E-3</v>
      </c>
      <c r="BX40" s="263">
        <f t="shared" si="27"/>
        <v>38.314903846153847</v>
      </c>
      <c r="BY40" s="264">
        <f t="shared" si="28"/>
        <v>2.7877751920864113E-2</v>
      </c>
      <c r="BZ40" s="266">
        <f t="shared" si="29"/>
        <v>189.15336538461537</v>
      </c>
      <c r="CA40" s="267">
        <f t="shared" si="30"/>
        <v>1.1954288731724372E-2</v>
      </c>
      <c r="CB40" s="268">
        <f t="shared" si="31"/>
        <v>81.111057692307682</v>
      </c>
      <c r="CC40" s="264">
        <f t="shared" si="32"/>
        <v>5.261117112626214E-3</v>
      </c>
      <c r="CD40" s="265">
        <f t="shared" si="33"/>
        <v>35.697211538461538</v>
      </c>
      <c r="CE40" s="269">
        <f t="shared" si="34"/>
        <v>0.60364179081627889</v>
      </c>
      <c r="CF40" s="267">
        <f t="shared" si="35"/>
        <v>0.51071654075105444</v>
      </c>
      <c r="CG40" s="267">
        <f t="shared" si="36"/>
        <v>0.49083290489503228</v>
      </c>
      <c r="CH40" s="268">
        <f t="shared" si="37"/>
        <v>3465.2633653846156</v>
      </c>
      <c r="CI40" s="264">
        <f t="shared" si="38"/>
        <v>0.26036834810767884</v>
      </c>
      <c r="CJ40" s="270">
        <f t="shared" si="39"/>
        <v>0.22028697166046851</v>
      </c>
      <c r="CK40" s="270">
        <f t="shared" si="40"/>
        <v>0.21171057834083706</v>
      </c>
      <c r="CL40" s="271">
        <f t="shared" si="41"/>
        <v>1494.6693749999999</v>
      </c>
      <c r="CM40" s="269">
        <f t="shared" si="42"/>
        <v>2.9604590658800504E-2</v>
      </c>
      <c r="CN40" s="267">
        <f t="shared" si="43"/>
        <v>2.504722893881825E-2</v>
      </c>
      <c r="CO40" s="267">
        <f t="shared" si="44"/>
        <v>2.4072069648520968E-2</v>
      </c>
      <c r="CP40" s="268">
        <f t="shared" si="45"/>
        <v>169.94798076923078</v>
      </c>
      <c r="CQ40" s="264">
        <f t="shared" si="46"/>
        <v>6.7226608683984126E-2</v>
      </c>
      <c r="CR40" s="270">
        <f t="shared" si="47"/>
        <v>5.6877674070711912E-2</v>
      </c>
      <c r="CS40" s="270">
        <f t="shared" si="48"/>
        <v>5.4663265745701704E-2</v>
      </c>
      <c r="CT40" s="265">
        <f t="shared" si="49"/>
        <v>385.92076923076922</v>
      </c>
      <c r="CU40" s="269">
        <f t="shared" si="50"/>
        <v>0.95912708801896884</v>
      </c>
      <c r="CV40" s="267">
        <f t="shared" si="51"/>
        <v>0.81147805865343992</v>
      </c>
      <c r="CW40" s="267">
        <f t="shared" si="52"/>
        <v>0.77988492834344725</v>
      </c>
      <c r="CX40" s="268">
        <f t="shared" si="53"/>
        <v>5505.9606730769237</v>
      </c>
      <c r="CY40" s="264">
        <f t="shared" si="54"/>
        <v>3.9176366275386516E-3</v>
      </c>
      <c r="CZ40" s="270">
        <f t="shared" si="55"/>
        <v>3.185506695316294E-3</v>
      </c>
      <c r="DA40" s="265">
        <f t="shared" si="56"/>
        <v>22.489567307692308</v>
      </c>
      <c r="DB40" s="269">
        <f t="shared" si="57"/>
        <v>2.5399312463951491E-3</v>
      </c>
      <c r="DC40" s="268">
        <f t="shared" si="58"/>
        <v>17.931826923076922</v>
      </c>
      <c r="DD40" s="264">
        <f t="shared" si="59"/>
        <v>9.8142038952052923E-3</v>
      </c>
      <c r="DE40" s="270">
        <f t="shared" si="60"/>
        <v>7.9801204628356676E-3</v>
      </c>
      <c r="DF40" s="265">
        <f t="shared" si="61"/>
        <v>56.339375000000004</v>
      </c>
      <c r="DG40" s="269">
        <f t="shared" si="62"/>
        <v>9.6108110332663085E-3</v>
      </c>
      <c r="DH40" s="267">
        <f t="shared" si="63"/>
        <v>7.8147377627323031E-3</v>
      </c>
      <c r="DI40" s="272">
        <f t="shared" si="64"/>
        <v>55.171778846153842</v>
      </c>
      <c r="DJ40" s="264">
        <f t="shared" si="65"/>
        <v>2.7302640061290212E-2</v>
      </c>
      <c r="DK40" s="270">
        <f t="shared" si="66"/>
        <v>2.3099643029382614E-2</v>
      </c>
      <c r="DL40" s="270">
        <f t="shared" si="67"/>
        <v>2.2200308753416352E-2</v>
      </c>
      <c r="DM40" s="265">
        <f t="shared" si="68"/>
        <v>156.73341346153845</v>
      </c>
      <c r="DN40" s="269">
        <f t="shared" si="69"/>
        <v>6.7602960015196098E-3</v>
      </c>
      <c r="DO40" s="267">
        <f t="shared" si="70"/>
        <v>5.4969284348075293E-3</v>
      </c>
      <c r="DP40" s="268">
        <f t="shared" si="71"/>
        <v>38.808125000000004</v>
      </c>
      <c r="DQ40" s="264">
        <f t="shared" si="72"/>
        <v>6.6450464671787987E-2</v>
      </c>
      <c r="DR40" s="270">
        <f t="shared" si="73"/>
        <v>5.4032167922590482E-2</v>
      </c>
      <c r="DS40" s="265">
        <f t="shared" si="74"/>
        <v>381.46524038461541</v>
      </c>
      <c r="DT40" s="269">
        <f t="shared" si="75"/>
        <v>3.0632872047301491E-2</v>
      </c>
      <c r="DU40" s="268">
        <f t="shared" si="76"/>
        <v>216.26701923076922</v>
      </c>
      <c r="DV40" s="264">
        <f t="shared" si="2"/>
        <v>1.6760058248813891E-2</v>
      </c>
      <c r="DW40" s="265">
        <f t="shared" si="3"/>
        <v>118.32543269230769</v>
      </c>
      <c r="DX40" s="264">
        <f t="shared" si="77"/>
        <v>5.1086900182319099E-5</v>
      </c>
      <c r="DY40" s="270">
        <f t="shared" si="78"/>
        <v>4.3222529214762928E-5</v>
      </c>
      <c r="DZ40" s="270">
        <f t="shared" si="79"/>
        <v>4.1539754205324675E-5</v>
      </c>
      <c r="EA40" s="265">
        <f t="shared" si="80"/>
        <v>0.29326923076923078</v>
      </c>
      <c r="EB40" s="273">
        <f>IFERROR(VLOOKUP(A40,'BARNET SCHS PUPIL PREMIUM Nos'!$E$31:$V$117,17,0),0)</f>
        <v>61</v>
      </c>
      <c r="EC40" s="258">
        <f>IFERROR(VLOOKUP(A40,CFR20212022_BenchMarkDataReport!$B$4:$CL$90,36,0),0)</f>
        <v>0</v>
      </c>
      <c r="ED40" s="258">
        <f>IFERROR(VLOOKUP(A40,CFR20212022_BenchMarkDataReport!$B$4:$CL$90,37,0),0)</f>
        <v>0</v>
      </c>
      <c r="EE40" s="258">
        <f>IFERROR(VLOOKUP(A40,CFR20212022_BenchMarkDataReport!$B$4:$CL$90,38,0),0)</f>
        <v>14402.33</v>
      </c>
      <c r="EF40" s="258">
        <f>IFERROR(VLOOKUP(A40,CFR20212022_BenchMarkDataReport!$B$4:$CL$90,39,0),0)</f>
        <v>37814.83</v>
      </c>
      <c r="EG40" s="227"/>
    </row>
    <row r="41" spans="1:137" s="5" customFormat="1">
      <c r="A41" s="147">
        <v>2032</v>
      </c>
      <c r="B41" s="298">
        <v>10072</v>
      </c>
      <c r="C41" s="147" t="s">
        <v>66</v>
      </c>
      <c r="D41" s="258">
        <f>IFERROR(VLOOKUP(A41,CFR20212022_BenchMarkDataReport!$B$4:$CL$90,19,0),0)</f>
        <v>2195143.33</v>
      </c>
      <c r="E41" s="258">
        <f>IFERROR(VLOOKUP(A41,CFR20212022_BenchMarkDataReport!$B$4:$CL$90,20,0),0)</f>
        <v>0</v>
      </c>
      <c r="F41" s="258">
        <f>IFERROR(VLOOKUP(A41,CFR20212022_BenchMarkDataReport!$B$4:$CL$90,21,0),0)</f>
        <v>154328.1</v>
      </c>
      <c r="G41" s="258">
        <f>IFERROR(VLOOKUP(A41,CFR20212022_BenchMarkDataReport!$B$4:$CL$90,22,0),0)</f>
        <v>0</v>
      </c>
      <c r="H41" s="258">
        <f>IFERROR(VLOOKUP(A41,CFR20212022_BenchMarkDataReport!$B$4:$CL$90,23,0),0)</f>
        <v>128397.01</v>
      </c>
      <c r="I41" s="258">
        <f>IFERROR(VLOOKUP(A41,CFR20212022_BenchMarkDataReport!$B$4:$CL$90,24,0),0)</f>
        <v>3475</v>
      </c>
      <c r="J41" s="258">
        <f>IFERROR(VLOOKUP(A41,CFR20212022_BenchMarkDataReport!$B$4:$CL$90,25,0),0)</f>
        <v>0</v>
      </c>
      <c r="K41" s="258">
        <f>IFERROR(VLOOKUP(A41,CFR20212022_BenchMarkDataReport!$B$4:$CL$90,26,0),0)</f>
        <v>0</v>
      </c>
      <c r="L41" s="258">
        <f>IFERROR(VLOOKUP(A41,CFR20212022_BenchMarkDataReport!$B$4:$CL$90,27,0),0)</f>
        <v>103828.14</v>
      </c>
      <c r="M41" s="258">
        <f>IFERROR(VLOOKUP(A41,CFR20212022_BenchMarkDataReport!$B$4:$CL$90,28,0),0)</f>
        <v>40491.33</v>
      </c>
      <c r="N41" s="258">
        <f>IFERROR(VLOOKUP(A41,CFR20212022_BenchMarkDataReport!$B$4:$CL$90,29,0),0)</f>
        <v>0</v>
      </c>
      <c r="O41" s="258">
        <f>IFERROR(VLOOKUP(A41,CFR20212022_BenchMarkDataReport!$B$4:$CL$90,30,0),0)</f>
        <v>0</v>
      </c>
      <c r="P41" s="258">
        <f>IFERROR(VLOOKUP(A41,CFR20212022_BenchMarkDataReport!$B$4:$CL$90,31,0),0)</f>
        <v>1738</v>
      </c>
      <c r="Q41" s="258">
        <f>IFERROR(VLOOKUP(A41,CFR20212022_BenchMarkDataReport!$B$4:$CL$90,32,0),0)</f>
        <v>33206.620000000003</v>
      </c>
      <c r="R41" s="258">
        <f>IFERROR(VLOOKUP(A41,CFR20212022_BenchMarkDataReport!$B$4:$CL$90,33,0),0)</f>
        <v>0</v>
      </c>
      <c r="S41" s="258">
        <f>IFERROR(VLOOKUP(A41,CFR20212022_BenchMarkDataReport!$B$4:$CL$90,34,0),0)</f>
        <v>0</v>
      </c>
      <c r="T41" s="258">
        <f>IFERROR(VLOOKUP(A41,CFR20212022_BenchMarkDataReport!$B$4:$CL$90,35,0),0)</f>
        <v>0</v>
      </c>
      <c r="U41" s="258">
        <f t="shared" si="0"/>
        <v>102467.88</v>
      </c>
      <c r="V41" s="258">
        <f>IFERROR(VLOOKUP(A41,CFR20212022_BenchMarkDataReport!$B$4:$CL$90,40,0),0)</f>
        <v>1324833.1200000001</v>
      </c>
      <c r="W41" s="258">
        <f>IFERROR(VLOOKUP(A41,CFR20212022_BenchMarkDataReport!$B$4:$CL$90,41,0),0)</f>
        <v>0</v>
      </c>
      <c r="X41" s="258">
        <f>IFERROR(VLOOKUP(A41,CFR20212022_BenchMarkDataReport!$B$4:$CL$90,42,0),0)</f>
        <v>688786.25</v>
      </c>
      <c r="Y41" s="258">
        <f>IFERROR(VLOOKUP(A41,CFR20212022_BenchMarkDataReport!$B$4:$CL$90,43,0),0)</f>
        <v>38931.26</v>
      </c>
      <c r="Z41" s="258">
        <f>IFERROR(VLOOKUP(A41,CFR20212022_BenchMarkDataReport!$B$4:$CL$90,44,0),0)</f>
        <v>39995.29</v>
      </c>
      <c r="AA41" s="258">
        <f>IFERROR(VLOOKUP(A41,CFR20212022_BenchMarkDataReport!$B$4:$CL$90,45,0),0)</f>
        <v>0</v>
      </c>
      <c r="AB41" s="258">
        <f>IFERROR(VLOOKUP(A41,CFR20212022_BenchMarkDataReport!$B$4:$CL$90,46,0),0)</f>
        <v>46087.21</v>
      </c>
      <c r="AC41" s="258">
        <f>IFERROR(VLOOKUP(A41,CFR20212022_BenchMarkDataReport!$B$4:$CL$90,47,0),0)</f>
        <v>9506.82</v>
      </c>
      <c r="AD41" s="258">
        <f>IFERROR(VLOOKUP(A41,CFR20212022_BenchMarkDataReport!$B$4:$CL$90,48,0),0)</f>
        <v>4899.3</v>
      </c>
      <c r="AE41" s="258">
        <f>IFERROR(VLOOKUP(A41,CFR20212022_BenchMarkDataReport!$B$4:$CL$90,49,0),0)</f>
        <v>1772.06</v>
      </c>
      <c r="AF41" s="258">
        <f>IFERROR(VLOOKUP(A41,CFR20212022_BenchMarkDataReport!$B$4:$CL$90,50,0),0)</f>
        <v>0</v>
      </c>
      <c r="AG41" s="258">
        <f>IFERROR(VLOOKUP(A41,CFR20212022_BenchMarkDataReport!$B$4:$CL$90,51,0),0)</f>
        <v>38975.26</v>
      </c>
      <c r="AH41" s="258">
        <f>IFERROR(VLOOKUP(A41,CFR20212022_BenchMarkDataReport!$B$4:$CL$90,52,0),0)</f>
        <v>3946.77</v>
      </c>
      <c r="AI41" s="258">
        <f>IFERROR(VLOOKUP(A41,CFR20212022_BenchMarkDataReport!$B$4:$CL$90,53,0),0)</f>
        <v>57529.81</v>
      </c>
      <c r="AJ41" s="258">
        <f>IFERROR(VLOOKUP(A41,CFR20212022_BenchMarkDataReport!$B$4:$CL$90,54,0),0)</f>
        <v>5645.71</v>
      </c>
      <c r="AK41" s="258">
        <f>IFERROR(VLOOKUP(A41,CFR20212022_BenchMarkDataReport!$B$4:$CL$90,55,0),0)</f>
        <v>30927.040000000001</v>
      </c>
      <c r="AL41" s="258">
        <f>IFERROR(VLOOKUP(A41,CFR20212022_BenchMarkDataReport!$B$4:$CL$90,56,0),0)</f>
        <v>26880</v>
      </c>
      <c r="AM41" s="258">
        <f>IFERROR(VLOOKUP(A41,CFR20212022_BenchMarkDataReport!$B$4:$CL$90,57,0),0)</f>
        <v>8979.44</v>
      </c>
      <c r="AN41" s="258">
        <f>IFERROR(VLOOKUP(A41,CFR20212022_BenchMarkDataReport!$B$4:$CL$90,58,0),0)</f>
        <v>66244.600000000006</v>
      </c>
      <c r="AO41" s="258">
        <f>IFERROR(VLOOKUP(A41,CFR20212022_BenchMarkDataReport!$B$4:$CL$90,59,0),0)</f>
        <v>15255.19</v>
      </c>
      <c r="AP41" s="258">
        <f>IFERROR(VLOOKUP(A41,CFR20212022_BenchMarkDataReport!$B$4:$CL$90,60,0),0)</f>
        <v>0</v>
      </c>
      <c r="AQ41" s="258">
        <f>IFERROR(VLOOKUP(A41,CFR20212022_BenchMarkDataReport!$B$4:$CL$90,61,0),0)</f>
        <v>16461.43</v>
      </c>
      <c r="AR41" s="258">
        <f>IFERROR(VLOOKUP(A41,CFR20212022_BenchMarkDataReport!$B$4:$CL$90,62,0),0)</f>
        <v>12986.06</v>
      </c>
      <c r="AS41" s="258">
        <f>IFERROR(VLOOKUP(A41,CFR20212022_BenchMarkDataReport!$B$4:$CL$90,63,0),0)</f>
        <v>3157</v>
      </c>
      <c r="AT41" s="258">
        <f>IFERROR(VLOOKUP(A41,CFR20212022_BenchMarkDataReport!$B$4:$CL$90,64,0),0)</f>
        <v>119021.45</v>
      </c>
      <c r="AU41" s="258">
        <f>IFERROR(VLOOKUP(A41,CFR20212022_BenchMarkDataReport!$B$4:$CL$90,65,0),0)</f>
        <v>186864.14</v>
      </c>
      <c r="AV41" s="258">
        <f>IFERROR(VLOOKUP(A41,CFR20212022_BenchMarkDataReport!$B$4:$CL$90,66,0),0)</f>
        <v>72070</v>
      </c>
      <c r="AW41" s="258">
        <f>IFERROR(VLOOKUP(A41,CFR20212022_BenchMarkDataReport!$B$4:$CL$90,67,0),0)</f>
        <v>44272.67</v>
      </c>
      <c r="AX41" s="258">
        <f>IFERROR(VLOOKUP(A41,CFR20212022_BenchMarkDataReport!$B$4:$CL$90,68,0),0)</f>
        <v>0</v>
      </c>
      <c r="AY41" s="258">
        <f>IFERROR(VLOOKUP(A41,CFR20212022_BenchMarkDataReport!$B$4:$CL$90,69,0),0)</f>
        <v>0</v>
      </c>
      <c r="AZ41" s="258">
        <f>IFERROR(VLOOKUP(A41,CFR20212022_BenchMarkDataReport!$B$4:$CL$90,70,0),0)</f>
        <v>0</v>
      </c>
      <c r="BA41" s="258">
        <f>IFERROR(VLOOKUP(A41,CFR20212022_BenchMarkDataReport!$B$4:$CL$90,71,0),0)</f>
        <v>0</v>
      </c>
      <c r="BB41" s="258">
        <f>IFERROR(VLOOKUP(A41,CFR20212022_BenchMarkDataReport!$B$4:$CL$90,72,0),0)</f>
        <v>0</v>
      </c>
      <c r="BC41" s="259">
        <f t="shared" ref="BC41:BC71" si="84">SUM(D41:R41)+U41</f>
        <v>2763075.41</v>
      </c>
      <c r="BD41" s="260">
        <f t="shared" si="81"/>
        <v>2864027.8800000004</v>
      </c>
      <c r="BE41" s="300">
        <f t="shared" si="82"/>
        <v>-100952.4700000002</v>
      </c>
      <c r="BF41" s="258">
        <f>IFERROR(VLOOKUP(A41,CFR20212022_BenchMarkDataReport!$B$4:$CL$90,16,0),0)</f>
        <v>209903.29</v>
      </c>
      <c r="BG41" s="300">
        <f t="shared" si="83"/>
        <v>108950.8199999998</v>
      </c>
      <c r="BH41" s="261">
        <f>IFERROR(VLOOKUP(A41,'Pupil Nos BenchmarkData 21-22'!$A$6:$E$94,5,0),0)</f>
        <v>446</v>
      </c>
      <c r="BI41" s="260">
        <f t="shared" si="1"/>
        <v>2349471.4300000002</v>
      </c>
      <c r="BJ41" s="227" t="s">
        <v>183</v>
      </c>
      <c r="BK41" s="262">
        <f t="shared" ref="BK41:BK71" si="85">IFERROR(D41/BC41,0)</f>
        <v>0.79445654000445831</v>
      </c>
      <c r="BL41" s="263">
        <f t="shared" ref="BL41:BL71" si="86">D41/BH41</f>
        <v>4921.8460313901351</v>
      </c>
      <c r="BM41" s="264">
        <f t="shared" ref="BM41:BM71" si="87">E41/BC41</f>
        <v>0</v>
      </c>
      <c r="BN41" s="265">
        <f t="shared" ref="BN41:BN71" si="88">E41/BH41</f>
        <v>0</v>
      </c>
      <c r="BO41" s="262">
        <f t="shared" ref="BO41:BO71" si="89">F41/BC41</f>
        <v>5.5853741610331221E-2</v>
      </c>
      <c r="BP41" s="263">
        <f t="shared" ref="BP41:BP71" si="90">F41/BH41</f>
        <v>346.02713004484309</v>
      </c>
      <c r="BQ41" s="264">
        <f t="shared" ref="BQ41:BQ71" si="91">G41/BC41</f>
        <v>0</v>
      </c>
      <c r="BR41" s="265">
        <f t="shared" ref="BR41:BR71" si="92">G41/BH41</f>
        <v>0</v>
      </c>
      <c r="BS41" s="262">
        <f t="shared" ref="BS41:BS71" si="93">H41/BC41</f>
        <v>4.6468876504532311E-2</v>
      </c>
      <c r="BT41" s="263">
        <f t="shared" ref="BT41:BT71" si="94">H41/BH41</f>
        <v>287.88567264573987</v>
      </c>
      <c r="BU41" s="264">
        <f t="shared" ref="BU41:BU71" si="95">I41/BC41</f>
        <v>1.257656590704486E-3</v>
      </c>
      <c r="BV41" s="265">
        <f t="shared" ref="BV41:BV71" si="96">I41/BH41</f>
        <v>7.7914798206278029</v>
      </c>
      <c r="BW41" s="262">
        <f t="shared" ref="BW41:BW71" si="97">J41/BC41</f>
        <v>0</v>
      </c>
      <c r="BX41" s="263">
        <f t="shared" ref="BX41:BX71" si="98">J41/BH41</f>
        <v>0</v>
      </c>
      <c r="BY41" s="264">
        <f t="shared" ref="BY41:BY71" si="99">IFERROR((K41+L41)/BC41,0)</f>
        <v>3.7577020020600885E-2</v>
      </c>
      <c r="BZ41" s="266">
        <f t="shared" ref="BZ41:BZ71" si="100">IFERROR((K41+L41)/BH41,0)</f>
        <v>232.79852017937219</v>
      </c>
      <c r="CA41" s="267">
        <f t="shared" ref="CA41:CA71" si="101">P41/BC41</f>
        <v>6.2900925313507815E-4</v>
      </c>
      <c r="CB41" s="268">
        <f t="shared" ref="CB41:CB71" si="102">P41/BH41</f>
        <v>3.8968609865470851</v>
      </c>
      <c r="CC41" s="264">
        <f t="shared" ref="CC41:CC71" si="103">Q41/BC41</f>
        <v>1.2017992661300547E-2</v>
      </c>
      <c r="CD41" s="265">
        <f t="shared" ref="CD41:CD71" si="104">Q41/BH41</f>
        <v>74.454304932735425</v>
      </c>
      <c r="CE41" s="269">
        <f t="shared" ref="CE41:CE71" si="105">(V41+W41+AU41)/BI41</f>
        <v>0.64342015003774711</v>
      </c>
      <c r="CF41" s="267">
        <f t="shared" ref="CF41:CF71" si="106">(V41+W41+AU41)/BC41</f>
        <v>0.54710676897522681</v>
      </c>
      <c r="CG41" s="267">
        <f t="shared" ref="CG41:CG71" si="107">(V41+W41+AU41)/BD41</f>
        <v>0.52782211742994622</v>
      </c>
      <c r="CH41" s="268">
        <f t="shared" ref="CH41:CH71" si="108">(V41+W41+AU41)/BH41</f>
        <v>3389.4557399103146</v>
      </c>
      <c r="CI41" s="264">
        <f t="shared" ref="CI41:CI71" si="109">X41/BI41</f>
        <v>0.29316647191577039</v>
      </c>
      <c r="CJ41" s="270">
        <f t="shared" ref="CJ41:CJ71" si="110">X41/BC41</f>
        <v>0.24928246529471301</v>
      </c>
      <c r="CK41" s="270">
        <f t="shared" ref="CK41:CK71" si="111">X41/BD41</f>
        <v>0.24049565118060232</v>
      </c>
      <c r="CL41" s="271">
        <f t="shared" ref="CL41:CL71" si="112">X41/BH41</f>
        <v>1544.3637892376682</v>
      </c>
      <c r="CM41" s="269">
        <f t="shared" ref="CM41:CM71" si="113">Y41/BI41</f>
        <v>1.6570220647458566E-2</v>
      </c>
      <c r="CN41" s="267">
        <f t="shared" ref="CN41:CN71" si="114">Y41/BC41</f>
        <v>1.4089828985159692E-2</v>
      </c>
      <c r="CO41" s="267">
        <f t="shared" ref="CO41:CO71" si="115">Y41/BD41</f>
        <v>1.3593184714389023E-2</v>
      </c>
      <c r="CP41" s="268">
        <f t="shared" ref="CP41:CP71" si="116">Y41/BH41</f>
        <v>87.289820627802698</v>
      </c>
      <c r="CQ41" s="264">
        <f t="shared" ref="CQ41:CQ71" si="117">Z41/BI41</f>
        <v>1.7023101234306136E-2</v>
      </c>
      <c r="CR41" s="270">
        <f t="shared" ref="CR41:CR71" si="118">Z41/BC41</f>
        <v>1.4474918004499919E-2</v>
      </c>
      <c r="CS41" s="270">
        <f t="shared" ref="CS41:CS71" si="119">Z41/BD41</f>
        <v>1.3964699952571689E-2</v>
      </c>
      <c r="CT41" s="265">
        <f t="shared" ref="CT41:CT71" si="120">Z41/BH41</f>
        <v>89.675538116591923</v>
      </c>
      <c r="CU41" s="269">
        <f t="shared" ref="CU41:CU71" si="121">(V41+W41+X41+Y41+Z41+AA41+AB41)/BI41</f>
        <v>0.91026139015446561</v>
      </c>
      <c r="CV41" s="267">
        <f t="shared" ref="CV41:CV71" si="122">(V41+W41+X41+Y41+Z41+AA41+AB41)/BC41</f>
        <v>0.77400461900531348</v>
      </c>
      <c r="CW41" s="267">
        <f t="shared" ref="CW41:CW71" si="123">(V41+W41+X41+Y41+Z41+AA41+AB41)/BD41</f>
        <v>0.74672217576317734</v>
      </c>
      <c r="CX41" s="268">
        <f t="shared" ref="CX41:CX71" si="124">(V41+W41+X41+Y41+Z41+AA41+AB41)/BH41</f>
        <v>4795.1415470852025</v>
      </c>
      <c r="CY41" s="264">
        <f t="shared" ref="CY41:CY71" si="125">AG41/BI41</f>
        <v>1.6588948263993149E-2</v>
      </c>
      <c r="CZ41" s="270">
        <f t="shared" ref="CZ41:CZ71" si="126">AG41/BD41</f>
        <v>1.3608547693327621E-2</v>
      </c>
      <c r="DA41" s="265">
        <f t="shared" ref="DA41:DA71" si="127">AG41/BH41</f>
        <v>87.38847533632287</v>
      </c>
      <c r="DB41" s="269">
        <f t="shared" ref="DB41:DB71" si="128">AJ41/BD41</f>
        <v>1.9712482687144787E-3</v>
      </c>
      <c r="DC41" s="268">
        <f t="shared" ref="DC41:DC71" si="129">AJ41/BH41</f>
        <v>12.658542600896862</v>
      </c>
      <c r="DD41" s="264">
        <f t="shared" ref="DD41:DD71" si="130">AK41/BI41</f>
        <v>1.3163403310675711E-2</v>
      </c>
      <c r="DE41" s="270">
        <f t="shared" ref="DE41:DE71" si="131">AK41/BD41</f>
        <v>1.0798442367118296E-2</v>
      </c>
      <c r="DF41" s="265">
        <f t="shared" ref="DF41:DF71" si="132">AK41/BH41</f>
        <v>69.343139013452912</v>
      </c>
      <c r="DG41" s="269">
        <f t="shared" ref="DG41:DG71" si="133">AM41/BI41</f>
        <v>3.8218979321659593E-3</v>
      </c>
      <c r="DH41" s="267">
        <f t="shared" ref="DH41:DH71" si="134">AM41/BD41</f>
        <v>3.13524880910028E-3</v>
      </c>
      <c r="DI41" s="272">
        <f t="shared" ref="DI41:DI71" si="135">AM41/BH41</f>
        <v>20.133273542600897</v>
      </c>
      <c r="DJ41" s="264">
        <f t="shared" ref="DJ41:DJ71" si="136">AN41/BI41</f>
        <v>2.8195533324701889E-2</v>
      </c>
      <c r="DK41" s="270">
        <f t="shared" ref="DK41:DK71" si="137">AN41/BC41</f>
        <v>2.3974951881606445E-2</v>
      </c>
      <c r="DL41" s="270">
        <f t="shared" ref="DL41:DL71" si="138">AN41/BD41</f>
        <v>2.3129872604452439E-2</v>
      </c>
      <c r="DM41" s="265">
        <f t="shared" ref="DM41:DM71" si="139">AN41/BH41</f>
        <v>148.53049327354262</v>
      </c>
      <c r="DN41" s="269">
        <f t="shared" ref="DN41:DN71" si="140">AQ41/BI41</f>
        <v>7.0064397420657289E-3</v>
      </c>
      <c r="DO41" s="267">
        <f t="shared" ref="DO41:DO71" si="141">IFERROR(AQ41/BD41,0)</f>
        <v>5.7476500543004487E-3</v>
      </c>
      <c r="DP41" s="268">
        <f t="shared" ref="DP41:DP71" si="142">AQ41/BH41</f>
        <v>36.909035874439461</v>
      </c>
      <c r="DQ41" s="264">
        <f t="shared" ref="DQ41:DQ71" si="143">IFERROR(AV41/BI41,0)</f>
        <v>3.0674984628351065E-2</v>
      </c>
      <c r="DR41" s="270">
        <f t="shared" ref="DR41:DR71" si="144">IFERROR(AV41/BD41,0)</f>
        <v>2.516386118420048E-2</v>
      </c>
      <c r="DS41" s="265">
        <f t="shared" ref="DS41:DS71" si="145">AV41/BH41</f>
        <v>161.59192825112109</v>
      </c>
      <c r="DT41" s="269">
        <f t="shared" ref="DT41:DT71" si="146">AT41/BD41</f>
        <v>4.1557364308897712E-2</v>
      </c>
      <c r="DU41" s="268">
        <f t="shared" ref="DU41:DU71" si="147">AT41/BH41</f>
        <v>266.86423766816142</v>
      </c>
      <c r="DV41" s="264">
        <f t="shared" si="2"/>
        <v>2.0087028622081705E-2</v>
      </c>
      <c r="DW41" s="265">
        <f t="shared" si="3"/>
        <v>128.99060538116592</v>
      </c>
      <c r="DX41" s="264">
        <f t="shared" ref="DX41:DX71" si="148">EB41/BI41</f>
        <v>3.5752722475114327E-5</v>
      </c>
      <c r="DY41" s="270">
        <f t="shared" ref="DY41:DY71" si="149">EB41/BC41</f>
        <v>3.0400907516309876E-5</v>
      </c>
      <c r="DZ41" s="270">
        <f t="shared" ref="DZ41:DZ71" si="150">EB41/BD41</f>
        <v>2.932932342823422E-5</v>
      </c>
      <c r="EA41" s="265">
        <f t="shared" ref="EA41:EA71" si="151">EB41/BH41</f>
        <v>0.18834080717488788</v>
      </c>
      <c r="EB41" s="273">
        <f>IFERROR(VLOOKUP(A41,'BARNET SCHS PUPIL PREMIUM Nos'!$E$31:$V$117,17,0),0)</f>
        <v>84</v>
      </c>
      <c r="EC41" s="258">
        <f>IFERROR(VLOOKUP(A41,CFR20212022_BenchMarkDataReport!$B$4:$CL$90,36,0),0)</f>
        <v>0</v>
      </c>
      <c r="ED41" s="258">
        <f>IFERROR(VLOOKUP(A41,CFR20212022_BenchMarkDataReport!$B$4:$CL$90,37,0),0)</f>
        <v>0</v>
      </c>
      <c r="EE41" s="258">
        <f>IFERROR(VLOOKUP(A41,CFR20212022_BenchMarkDataReport!$B$4:$CL$90,38,0),0)</f>
        <v>0</v>
      </c>
      <c r="EF41" s="258">
        <f>IFERROR(VLOOKUP(A41,CFR20212022_BenchMarkDataReport!$B$4:$CL$90,39,0),0)</f>
        <v>102467.88</v>
      </c>
      <c r="EG41" s="227"/>
    </row>
    <row r="42" spans="1:137" s="5" customFormat="1">
      <c r="A42" s="147">
        <v>3304</v>
      </c>
      <c r="B42" s="298">
        <v>10073</v>
      </c>
      <c r="C42" s="147" t="s">
        <v>67</v>
      </c>
      <c r="D42" s="258">
        <f>IFERROR(VLOOKUP(A42,CFR20212022_BenchMarkDataReport!$B$4:$CL$90,19,0),0)</f>
        <v>1089069.53</v>
      </c>
      <c r="E42" s="258">
        <f>IFERROR(VLOOKUP(A42,CFR20212022_BenchMarkDataReport!$B$4:$CL$90,20,0),0)</f>
        <v>0</v>
      </c>
      <c r="F42" s="258">
        <f>IFERROR(VLOOKUP(A42,CFR20212022_BenchMarkDataReport!$B$4:$CL$90,21,0),0)</f>
        <v>78710.570000000007</v>
      </c>
      <c r="G42" s="258">
        <f>IFERROR(VLOOKUP(A42,CFR20212022_BenchMarkDataReport!$B$4:$CL$90,22,0),0)</f>
        <v>0</v>
      </c>
      <c r="H42" s="258">
        <f>IFERROR(VLOOKUP(A42,CFR20212022_BenchMarkDataReport!$B$4:$CL$90,23,0),0)</f>
        <v>73284.990000000005</v>
      </c>
      <c r="I42" s="258">
        <f>IFERROR(VLOOKUP(A42,CFR20212022_BenchMarkDataReport!$B$4:$CL$90,24,0),0)</f>
        <v>0</v>
      </c>
      <c r="J42" s="258">
        <f>IFERROR(VLOOKUP(A42,CFR20212022_BenchMarkDataReport!$B$4:$CL$90,25,0),0)</f>
        <v>0</v>
      </c>
      <c r="K42" s="258">
        <f>IFERROR(VLOOKUP(A42,CFR20212022_BenchMarkDataReport!$B$4:$CL$90,26,0),0)</f>
        <v>0</v>
      </c>
      <c r="L42" s="258">
        <f>IFERROR(VLOOKUP(A42,CFR20212022_BenchMarkDataReport!$B$4:$CL$90,27,0),0)</f>
        <v>41819.01</v>
      </c>
      <c r="M42" s="258">
        <f>IFERROR(VLOOKUP(A42,CFR20212022_BenchMarkDataReport!$B$4:$CL$90,28,0),0)</f>
        <v>36688.22</v>
      </c>
      <c r="N42" s="258">
        <f>IFERROR(VLOOKUP(A42,CFR20212022_BenchMarkDataReport!$B$4:$CL$90,29,0),0)</f>
        <v>16200</v>
      </c>
      <c r="O42" s="258">
        <f>IFERROR(VLOOKUP(A42,CFR20212022_BenchMarkDataReport!$B$4:$CL$90,30,0),0)</f>
        <v>0</v>
      </c>
      <c r="P42" s="258">
        <f>IFERROR(VLOOKUP(A42,CFR20212022_BenchMarkDataReport!$B$4:$CL$90,31,0),0)</f>
        <v>15058</v>
      </c>
      <c r="Q42" s="258">
        <f>IFERROR(VLOOKUP(A42,CFR20212022_BenchMarkDataReport!$B$4:$CL$90,32,0),0)</f>
        <v>5913.02</v>
      </c>
      <c r="R42" s="258">
        <f>IFERROR(VLOOKUP(A42,CFR20212022_BenchMarkDataReport!$B$4:$CL$90,33,0),0)</f>
        <v>0</v>
      </c>
      <c r="S42" s="258">
        <f>IFERROR(VLOOKUP(A42,CFR20212022_BenchMarkDataReport!$B$4:$CL$90,34,0),0)</f>
        <v>0</v>
      </c>
      <c r="T42" s="258">
        <f>IFERROR(VLOOKUP(A42,CFR20212022_BenchMarkDataReport!$B$4:$CL$90,35,0),0)</f>
        <v>0</v>
      </c>
      <c r="U42" s="258">
        <f t="shared" si="0"/>
        <v>58255.29</v>
      </c>
      <c r="V42" s="258">
        <f>IFERROR(VLOOKUP(A42,CFR20212022_BenchMarkDataReport!$B$4:$CL$90,40,0),0)</f>
        <v>706121.51</v>
      </c>
      <c r="W42" s="258">
        <f>IFERROR(VLOOKUP(A42,CFR20212022_BenchMarkDataReport!$B$4:$CL$90,41,0),0)</f>
        <v>0</v>
      </c>
      <c r="X42" s="258">
        <f>IFERROR(VLOOKUP(A42,CFR20212022_BenchMarkDataReport!$B$4:$CL$90,42,0),0)</f>
        <v>324175.73</v>
      </c>
      <c r="Y42" s="258">
        <f>IFERROR(VLOOKUP(A42,CFR20212022_BenchMarkDataReport!$B$4:$CL$90,43,0),0)</f>
        <v>35244.65</v>
      </c>
      <c r="Z42" s="258">
        <f>IFERROR(VLOOKUP(A42,CFR20212022_BenchMarkDataReport!$B$4:$CL$90,44,0),0)</f>
        <v>76940.34</v>
      </c>
      <c r="AA42" s="258">
        <f>IFERROR(VLOOKUP(A42,CFR20212022_BenchMarkDataReport!$B$4:$CL$90,45,0),0)</f>
        <v>0</v>
      </c>
      <c r="AB42" s="258">
        <f>IFERROR(VLOOKUP(A42,CFR20212022_BenchMarkDataReport!$B$4:$CL$90,46,0),0)</f>
        <v>20049.11</v>
      </c>
      <c r="AC42" s="258">
        <f>IFERROR(VLOOKUP(A42,CFR20212022_BenchMarkDataReport!$B$4:$CL$90,47,0),0)</f>
        <v>6877.13</v>
      </c>
      <c r="AD42" s="258">
        <f>IFERROR(VLOOKUP(A42,CFR20212022_BenchMarkDataReport!$B$4:$CL$90,48,0),0)</f>
        <v>7506.99</v>
      </c>
      <c r="AE42" s="258">
        <f>IFERROR(VLOOKUP(A42,CFR20212022_BenchMarkDataReport!$B$4:$CL$90,49,0),0)</f>
        <v>6483.97</v>
      </c>
      <c r="AF42" s="258">
        <f>IFERROR(VLOOKUP(A42,CFR20212022_BenchMarkDataReport!$B$4:$CL$90,50,0),0)</f>
        <v>0</v>
      </c>
      <c r="AG42" s="258">
        <f>IFERROR(VLOOKUP(A42,CFR20212022_BenchMarkDataReport!$B$4:$CL$90,51,0),0)</f>
        <v>27839.58</v>
      </c>
      <c r="AH42" s="258">
        <f>IFERROR(VLOOKUP(A42,CFR20212022_BenchMarkDataReport!$B$4:$CL$90,52,0),0)</f>
        <v>0</v>
      </c>
      <c r="AI42" s="258">
        <f>IFERROR(VLOOKUP(A42,CFR20212022_BenchMarkDataReport!$B$4:$CL$90,53,0),0)</f>
        <v>17771.2</v>
      </c>
      <c r="AJ42" s="258">
        <f>IFERROR(VLOOKUP(A42,CFR20212022_BenchMarkDataReport!$B$4:$CL$90,54,0),0)</f>
        <v>2931.8</v>
      </c>
      <c r="AK42" s="258">
        <f>IFERROR(VLOOKUP(A42,CFR20212022_BenchMarkDataReport!$B$4:$CL$90,55,0),0)</f>
        <v>10612.89</v>
      </c>
      <c r="AL42" s="258">
        <f>IFERROR(VLOOKUP(A42,CFR20212022_BenchMarkDataReport!$B$4:$CL$90,56,0),0)</f>
        <v>3558.4</v>
      </c>
      <c r="AM42" s="258">
        <f>IFERROR(VLOOKUP(A42,CFR20212022_BenchMarkDataReport!$B$4:$CL$90,57,0),0)</f>
        <v>11019.01</v>
      </c>
      <c r="AN42" s="258">
        <f>IFERROR(VLOOKUP(A42,CFR20212022_BenchMarkDataReport!$B$4:$CL$90,58,0),0)</f>
        <v>32659.200000000001</v>
      </c>
      <c r="AO42" s="258">
        <f>IFERROR(VLOOKUP(A42,CFR20212022_BenchMarkDataReport!$B$4:$CL$90,59,0),0)</f>
        <v>7169.5</v>
      </c>
      <c r="AP42" s="258">
        <f>IFERROR(VLOOKUP(A42,CFR20212022_BenchMarkDataReport!$B$4:$CL$90,60,0),0)</f>
        <v>0</v>
      </c>
      <c r="AQ42" s="258">
        <f>IFERROR(VLOOKUP(A42,CFR20212022_BenchMarkDataReport!$B$4:$CL$90,61,0),0)</f>
        <v>14707.19</v>
      </c>
      <c r="AR42" s="258">
        <f>IFERROR(VLOOKUP(A42,CFR20212022_BenchMarkDataReport!$B$4:$CL$90,62,0),0)</f>
        <v>5669.63</v>
      </c>
      <c r="AS42" s="258">
        <f>IFERROR(VLOOKUP(A42,CFR20212022_BenchMarkDataReport!$B$4:$CL$90,63,0),0)</f>
        <v>12302.65</v>
      </c>
      <c r="AT42" s="258">
        <f>IFERROR(VLOOKUP(A42,CFR20212022_BenchMarkDataReport!$B$4:$CL$90,64,0),0)</f>
        <v>52159.05</v>
      </c>
      <c r="AU42" s="258">
        <f>IFERROR(VLOOKUP(A42,CFR20212022_BenchMarkDataReport!$B$4:$CL$90,65,0),0)</f>
        <v>26577.9</v>
      </c>
      <c r="AV42" s="258">
        <f>IFERROR(VLOOKUP(A42,CFR20212022_BenchMarkDataReport!$B$4:$CL$90,66,0),0)</f>
        <v>99000.92</v>
      </c>
      <c r="AW42" s="258">
        <f>IFERROR(VLOOKUP(A42,CFR20212022_BenchMarkDataReport!$B$4:$CL$90,67,0),0)</f>
        <v>57884.9</v>
      </c>
      <c r="AX42" s="258">
        <f>IFERROR(VLOOKUP(A42,CFR20212022_BenchMarkDataReport!$B$4:$CL$90,68,0),0)</f>
        <v>0</v>
      </c>
      <c r="AY42" s="258">
        <f>IFERROR(VLOOKUP(A42,CFR20212022_BenchMarkDataReport!$B$4:$CL$90,69,0),0)</f>
        <v>0</v>
      </c>
      <c r="AZ42" s="258">
        <f>IFERROR(VLOOKUP(A42,CFR20212022_BenchMarkDataReport!$B$4:$CL$90,70,0),0)</f>
        <v>0</v>
      </c>
      <c r="BA42" s="258">
        <f>IFERROR(VLOOKUP(A42,CFR20212022_BenchMarkDataReport!$B$4:$CL$90,71,0),0)</f>
        <v>0</v>
      </c>
      <c r="BB42" s="258">
        <f>IFERROR(VLOOKUP(A42,CFR20212022_BenchMarkDataReport!$B$4:$CL$90,72,0),0)</f>
        <v>0</v>
      </c>
      <c r="BC42" s="259">
        <f t="shared" si="84"/>
        <v>1414998.6300000001</v>
      </c>
      <c r="BD42" s="260">
        <f t="shared" si="81"/>
        <v>1565263.2499999993</v>
      </c>
      <c r="BE42" s="300">
        <f t="shared" si="82"/>
        <v>-150264.61999999918</v>
      </c>
      <c r="BF42" s="258">
        <f>IFERROR(VLOOKUP(A42,CFR20212022_BenchMarkDataReport!$B$4:$CL$90,16,0),0)</f>
        <v>202425.25</v>
      </c>
      <c r="BG42" s="300">
        <f t="shared" si="83"/>
        <v>52160.63000000082</v>
      </c>
      <c r="BH42" s="261">
        <f>IFERROR(VLOOKUP(A42,'Pupil Nos BenchmarkData 21-22'!$A$6:$E$94,5,0),0)</f>
        <v>218.5</v>
      </c>
      <c r="BI42" s="260">
        <f t="shared" si="1"/>
        <v>1167780.1000000001</v>
      </c>
      <c r="BJ42" s="227" t="s">
        <v>183</v>
      </c>
      <c r="BK42" s="262">
        <f t="shared" si="85"/>
        <v>0.76966119041401471</v>
      </c>
      <c r="BL42" s="263">
        <f t="shared" si="86"/>
        <v>4984.299908466819</v>
      </c>
      <c r="BM42" s="264">
        <f t="shared" si="87"/>
        <v>0</v>
      </c>
      <c r="BN42" s="265">
        <f t="shared" si="88"/>
        <v>0</v>
      </c>
      <c r="BO42" s="262">
        <f t="shared" si="89"/>
        <v>5.5625898379845072E-2</v>
      </c>
      <c r="BP42" s="263">
        <f t="shared" si="90"/>
        <v>360.23144164759731</v>
      </c>
      <c r="BQ42" s="264">
        <f t="shared" si="91"/>
        <v>0</v>
      </c>
      <c r="BR42" s="265">
        <f t="shared" si="92"/>
        <v>0</v>
      </c>
      <c r="BS42" s="262">
        <f t="shared" si="93"/>
        <v>5.1791562511972186E-2</v>
      </c>
      <c r="BT42" s="263">
        <f t="shared" si="94"/>
        <v>335.40041189931355</v>
      </c>
      <c r="BU42" s="264">
        <f t="shared" si="95"/>
        <v>0</v>
      </c>
      <c r="BV42" s="265">
        <f t="shared" si="96"/>
        <v>0</v>
      </c>
      <c r="BW42" s="262">
        <f t="shared" si="97"/>
        <v>0</v>
      </c>
      <c r="BX42" s="263">
        <f t="shared" si="98"/>
        <v>0</v>
      </c>
      <c r="BY42" s="264">
        <f t="shared" si="99"/>
        <v>2.9554099285594361E-2</v>
      </c>
      <c r="BZ42" s="266">
        <f t="shared" si="100"/>
        <v>191.3913501144165</v>
      </c>
      <c r="CA42" s="267">
        <f t="shared" si="101"/>
        <v>1.0641706416351794E-2</v>
      </c>
      <c r="CB42" s="268">
        <f t="shared" si="102"/>
        <v>68.915331807780319</v>
      </c>
      <c r="CC42" s="264">
        <f t="shared" si="103"/>
        <v>4.1788167667695907E-3</v>
      </c>
      <c r="CD42" s="265">
        <f t="shared" si="104"/>
        <v>27.061876430205952</v>
      </c>
      <c r="CE42" s="269">
        <f t="shared" si="105"/>
        <v>0.62742926515017683</v>
      </c>
      <c r="CF42" s="267">
        <f t="shared" si="106"/>
        <v>0.51780927165986013</v>
      </c>
      <c r="CG42" s="267">
        <f t="shared" si="107"/>
        <v>0.46809979727052325</v>
      </c>
      <c r="CH42" s="268">
        <f t="shared" si="108"/>
        <v>3353.3153775743708</v>
      </c>
      <c r="CI42" s="264">
        <f t="shared" si="109"/>
        <v>0.2775999779410524</v>
      </c>
      <c r="CJ42" s="270">
        <f t="shared" si="110"/>
        <v>0.22909967764421083</v>
      </c>
      <c r="CK42" s="270">
        <f t="shared" si="111"/>
        <v>0.20710620402031424</v>
      </c>
      <c r="CL42" s="271">
        <f t="shared" si="112"/>
        <v>1483.641784897025</v>
      </c>
      <c r="CM42" s="269">
        <f t="shared" si="113"/>
        <v>3.0180896214963757E-2</v>
      </c>
      <c r="CN42" s="267">
        <f t="shared" si="114"/>
        <v>2.4907903974437061E-2</v>
      </c>
      <c r="CO42" s="267">
        <f t="shared" si="115"/>
        <v>2.2516755568112914E-2</v>
      </c>
      <c r="CP42" s="268">
        <f t="shared" si="116"/>
        <v>161.30274599542335</v>
      </c>
      <c r="CQ42" s="264">
        <f t="shared" si="117"/>
        <v>6.5885983157274203E-2</v>
      </c>
      <c r="CR42" s="270">
        <f t="shared" si="118"/>
        <v>5.4374851232188111E-2</v>
      </c>
      <c r="CS42" s="270">
        <f t="shared" si="119"/>
        <v>4.9154888163380844E-2</v>
      </c>
      <c r="CT42" s="265">
        <f t="shared" si="120"/>
        <v>352.12970251716246</v>
      </c>
      <c r="CU42" s="269">
        <f t="shared" si="121"/>
        <v>0.9955053524203743</v>
      </c>
      <c r="CV42" s="267">
        <f t="shared" si="122"/>
        <v>0.82157771417771619</v>
      </c>
      <c r="CW42" s="267">
        <f t="shared" si="123"/>
        <v>0.74270659583939036</v>
      </c>
      <c r="CX42" s="268">
        <f t="shared" si="124"/>
        <v>5320.5095652173914</v>
      </c>
      <c r="CY42" s="264">
        <f t="shared" si="125"/>
        <v>2.3839745171201323E-2</v>
      </c>
      <c r="CZ42" s="270">
        <f t="shared" si="126"/>
        <v>1.7785877231833058E-2</v>
      </c>
      <c r="DA42" s="265">
        <f t="shared" si="127"/>
        <v>127.41226544622427</v>
      </c>
      <c r="DB42" s="269">
        <f t="shared" si="128"/>
        <v>1.8730395669865766E-3</v>
      </c>
      <c r="DC42" s="268">
        <f t="shared" si="129"/>
        <v>13.417848970251717</v>
      </c>
      <c r="DD42" s="264">
        <f t="shared" si="130"/>
        <v>9.0880894442369742E-3</v>
      </c>
      <c r="DE42" s="270">
        <f t="shared" si="131"/>
        <v>6.7802588478327874E-3</v>
      </c>
      <c r="DF42" s="265">
        <f t="shared" si="132"/>
        <v>48.571578947368415</v>
      </c>
      <c r="DG42" s="269">
        <f t="shared" si="133"/>
        <v>9.4358603987171902E-3</v>
      </c>
      <c r="DH42" s="267">
        <f t="shared" si="134"/>
        <v>7.0397168016306556E-3</v>
      </c>
      <c r="DI42" s="272">
        <f t="shared" si="135"/>
        <v>50.430251716247142</v>
      </c>
      <c r="DJ42" s="264">
        <f t="shared" si="136"/>
        <v>2.7966909180932264E-2</v>
      </c>
      <c r="DK42" s="270">
        <f t="shared" si="137"/>
        <v>2.3080729060493858E-2</v>
      </c>
      <c r="DL42" s="270">
        <f t="shared" si="138"/>
        <v>2.0864988684810695E-2</v>
      </c>
      <c r="DM42" s="265">
        <f t="shared" si="139"/>
        <v>149.4700228832952</v>
      </c>
      <c r="DN42" s="269">
        <f t="shared" si="140"/>
        <v>1.2594143366546491E-2</v>
      </c>
      <c r="DO42" s="267">
        <f t="shared" si="141"/>
        <v>9.395984988467599E-3</v>
      </c>
      <c r="DP42" s="268">
        <f t="shared" si="142"/>
        <v>67.309794050343257</v>
      </c>
      <c r="DQ42" s="264">
        <f t="shared" si="143"/>
        <v>8.4777022660345036E-2</v>
      </c>
      <c r="DR42" s="270">
        <f t="shared" si="144"/>
        <v>6.3248734677697219E-2</v>
      </c>
      <c r="DS42" s="265">
        <f t="shared" si="145"/>
        <v>453.09345537757434</v>
      </c>
      <c r="DT42" s="269">
        <f t="shared" si="146"/>
        <v>3.3322861186449004E-2</v>
      </c>
      <c r="DU42" s="268">
        <f t="shared" si="147"/>
        <v>238.71418764302061</v>
      </c>
      <c r="DV42" s="264">
        <f t="shared" si="2"/>
        <v>1.1353489580746248E-2</v>
      </c>
      <c r="DW42" s="265">
        <f t="shared" si="3"/>
        <v>81.33272311212815</v>
      </c>
      <c r="DX42" s="264">
        <f t="shared" si="148"/>
        <v>4.367260582707309E-5</v>
      </c>
      <c r="DY42" s="270">
        <f t="shared" si="149"/>
        <v>3.6042437723066911E-5</v>
      </c>
      <c r="DZ42" s="270">
        <f t="shared" si="150"/>
        <v>3.2582378714890307E-5</v>
      </c>
      <c r="EA42" s="265">
        <f t="shared" si="151"/>
        <v>0.23340961098398169</v>
      </c>
      <c r="EB42" s="273">
        <f>IFERROR(VLOOKUP(A42,'BARNET SCHS PUPIL PREMIUM Nos'!$E$31:$V$117,17,0),0)</f>
        <v>51</v>
      </c>
      <c r="EC42" s="258">
        <f>IFERROR(VLOOKUP(A42,CFR20212022_BenchMarkDataReport!$B$4:$CL$90,36,0),0)</f>
        <v>0</v>
      </c>
      <c r="ED42" s="258">
        <f>IFERROR(VLOOKUP(A42,CFR20212022_BenchMarkDataReport!$B$4:$CL$90,37,0),0)</f>
        <v>3634.06</v>
      </c>
      <c r="EE42" s="258">
        <f>IFERROR(VLOOKUP(A42,CFR20212022_BenchMarkDataReport!$B$4:$CL$90,38,0),0)</f>
        <v>6712.81</v>
      </c>
      <c r="EF42" s="258">
        <f>IFERROR(VLOOKUP(A42,CFR20212022_BenchMarkDataReport!$B$4:$CL$90,39,0),0)</f>
        <v>47908.42</v>
      </c>
      <c r="EG42" s="227"/>
    </row>
    <row r="43" spans="1:137" s="5" customFormat="1">
      <c r="A43" s="147">
        <v>2036</v>
      </c>
      <c r="B43" s="298">
        <v>10074</v>
      </c>
      <c r="C43" s="147" t="s">
        <v>68</v>
      </c>
      <c r="D43" s="258">
        <f>IFERROR(VLOOKUP(A43,CFR20212022_BenchMarkDataReport!$B$4:$CL$90,19,0),0)</f>
        <v>1777587</v>
      </c>
      <c r="E43" s="258">
        <f>IFERROR(VLOOKUP(A43,CFR20212022_BenchMarkDataReport!$B$4:$CL$90,20,0),0)</f>
        <v>0</v>
      </c>
      <c r="F43" s="258">
        <f>IFERROR(VLOOKUP(A43,CFR20212022_BenchMarkDataReport!$B$4:$CL$90,21,0),0)</f>
        <v>380447</v>
      </c>
      <c r="G43" s="258">
        <f>IFERROR(VLOOKUP(A43,CFR20212022_BenchMarkDataReport!$B$4:$CL$90,22,0),0)</f>
        <v>0</v>
      </c>
      <c r="H43" s="258">
        <f>IFERROR(VLOOKUP(A43,CFR20212022_BenchMarkDataReport!$B$4:$CL$90,23,0),0)</f>
        <v>138535</v>
      </c>
      <c r="I43" s="258">
        <f>IFERROR(VLOOKUP(A43,CFR20212022_BenchMarkDataReport!$B$4:$CL$90,24,0),0)</f>
        <v>1182</v>
      </c>
      <c r="J43" s="258">
        <f>IFERROR(VLOOKUP(A43,CFR20212022_BenchMarkDataReport!$B$4:$CL$90,25,0),0)</f>
        <v>4001</v>
      </c>
      <c r="K43" s="258">
        <f>IFERROR(VLOOKUP(A43,CFR20212022_BenchMarkDataReport!$B$4:$CL$90,26,0),0)</f>
        <v>6800</v>
      </c>
      <c r="L43" s="258">
        <f>IFERROR(VLOOKUP(A43,CFR20212022_BenchMarkDataReport!$B$4:$CL$90,27,0),0)</f>
        <v>60294</v>
      </c>
      <c r="M43" s="258">
        <f>IFERROR(VLOOKUP(A43,CFR20212022_BenchMarkDataReport!$B$4:$CL$90,28,0),0)</f>
        <v>13268</v>
      </c>
      <c r="N43" s="258">
        <f>IFERROR(VLOOKUP(A43,CFR20212022_BenchMarkDataReport!$B$4:$CL$90,29,0),0)</f>
        <v>0</v>
      </c>
      <c r="O43" s="258">
        <f>IFERROR(VLOOKUP(A43,CFR20212022_BenchMarkDataReport!$B$4:$CL$90,30,0),0)</f>
        <v>0</v>
      </c>
      <c r="P43" s="258">
        <f>IFERROR(VLOOKUP(A43,CFR20212022_BenchMarkDataReport!$B$4:$CL$90,31,0),0)</f>
        <v>33194</v>
      </c>
      <c r="Q43" s="258">
        <f>IFERROR(VLOOKUP(A43,CFR20212022_BenchMarkDataReport!$B$4:$CL$90,32,0),0)</f>
        <v>3764</v>
      </c>
      <c r="R43" s="258">
        <f>IFERROR(VLOOKUP(A43,CFR20212022_BenchMarkDataReport!$B$4:$CL$90,33,0),0)</f>
        <v>0</v>
      </c>
      <c r="S43" s="258">
        <f>IFERROR(VLOOKUP(A43,CFR20212022_BenchMarkDataReport!$B$4:$CL$90,34,0),0)</f>
        <v>0</v>
      </c>
      <c r="T43" s="258">
        <f>IFERROR(VLOOKUP(A43,CFR20212022_BenchMarkDataReport!$B$4:$CL$90,35,0),0)</f>
        <v>0</v>
      </c>
      <c r="U43" s="258">
        <f t="shared" si="0"/>
        <v>65090</v>
      </c>
      <c r="V43" s="258">
        <f>IFERROR(VLOOKUP(A43,CFR20212022_BenchMarkDataReport!$B$4:$CL$90,40,0),0)</f>
        <v>1074740</v>
      </c>
      <c r="W43" s="258">
        <f>IFERROR(VLOOKUP(A43,CFR20212022_BenchMarkDataReport!$B$4:$CL$90,41,0),0)</f>
        <v>5901</v>
      </c>
      <c r="X43" s="258">
        <f>IFERROR(VLOOKUP(A43,CFR20212022_BenchMarkDataReport!$B$4:$CL$90,42,0),0)</f>
        <v>652145</v>
      </c>
      <c r="Y43" s="258">
        <f>IFERROR(VLOOKUP(A43,CFR20212022_BenchMarkDataReport!$B$4:$CL$90,43,0),0)</f>
        <v>80377</v>
      </c>
      <c r="Z43" s="258">
        <f>IFERROR(VLOOKUP(A43,CFR20212022_BenchMarkDataReport!$B$4:$CL$90,44,0),0)</f>
        <v>32629</v>
      </c>
      <c r="AA43" s="258">
        <f>IFERROR(VLOOKUP(A43,CFR20212022_BenchMarkDataReport!$B$4:$CL$90,45,0),0)</f>
        <v>0</v>
      </c>
      <c r="AB43" s="258">
        <f>IFERROR(VLOOKUP(A43,CFR20212022_BenchMarkDataReport!$B$4:$CL$90,46,0),0)</f>
        <v>64101</v>
      </c>
      <c r="AC43" s="258">
        <f>IFERROR(VLOOKUP(A43,CFR20212022_BenchMarkDataReport!$B$4:$CL$90,47,0),0)</f>
        <v>12291</v>
      </c>
      <c r="AD43" s="258">
        <f>IFERROR(VLOOKUP(A43,CFR20212022_BenchMarkDataReport!$B$4:$CL$90,48,0),0)</f>
        <v>4978</v>
      </c>
      <c r="AE43" s="258">
        <f>IFERROR(VLOOKUP(A43,CFR20212022_BenchMarkDataReport!$B$4:$CL$90,49,0),0)</f>
        <v>387</v>
      </c>
      <c r="AF43" s="258">
        <f>IFERROR(VLOOKUP(A43,CFR20212022_BenchMarkDataReport!$B$4:$CL$90,50,0),0)</f>
        <v>0</v>
      </c>
      <c r="AG43" s="258">
        <f>IFERROR(VLOOKUP(A43,CFR20212022_BenchMarkDataReport!$B$4:$CL$90,51,0),0)</f>
        <v>28210</v>
      </c>
      <c r="AH43" s="258">
        <f>IFERROR(VLOOKUP(A43,CFR20212022_BenchMarkDataReport!$B$4:$CL$90,52,0),0)</f>
        <v>11272</v>
      </c>
      <c r="AI43" s="258">
        <f>IFERROR(VLOOKUP(A43,CFR20212022_BenchMarkDataReport!$B$4:$CL$90,53,0),0)</f>
        <v>7367</v>
      </c>
      <c r="AJ43" s="258">
        <f>IFERROR(VLOOKUP(A43,CFR20212022_BenchMarkDataReport!$B$4:$CL$90,54,0),0)</f>
        <v>1284</v>
      </c>
      <c r="AK43" s="258">
        <f>IFERROR(VLOOKUP(A43,CFR20212022_BenchMarkDataReport!$B$4:$CL$90,55,0),0)</f>
        <v>25642</v>
      </c>
      <c r="AL43" s="258">
        <f>IFERROR(VLOOKUP(A43,CFR20212022_BenchMarkDataReport!$B$4:$CL$90,56,0),0)</f>
        <v>23453</v>
      </c>
      <c r="AM43" s="258">
        <f>IFERROR(VLOOKUP(A43,CFR20212022_BenchMarkDataReport!$B$4:$CL$90,57,0),0)</f>
        <v>12511</v>
      </c>
      <c r="AN43" s="258">
        <f>IFERROR(VLOOKUP(A43,CFR20212022_BenchMarkDataReport!$B$4:$CL$90,58,0),0)</f>
        <v>82029</v>
      </c>
      <c r="AO43" s="258">
        <f>IFERROR(VLOOKUP(A43,CFR20212022_BenchMarkDataReport!$B$4:$CL$90,59,0),0)</f>
        <v>27903</v>
      </c>
      <c r="AP43" s="258">
        <f>IFERROR(VLOOKUP(A43,CFR20212022_BenchMarkDataReport!$B$4:$CL$90,60,0),0)</f>
        <v>0</v>
      </c>
      <c r="AQ43" s="258">
        <f>IFERROR(VLOOKUP(A43,CFR20212022_BenchMarkDataReport!$B$4:$CL$90,61,0),0)</f>
        <v>16555</v>
      </c>
      <c r="AR43" s="258">
        <f>IFERROR(VLOOKUP(A43,CFR20212022_BenchMarkDataReport!$B$4:$CL$90,62,0),0)</f>
        <v>11110</v>
      </c>
      <c r="AS43" s="258">
        <f>IFERROR(VLOOKUP(A43,CFR20212022_BenchMarkDataReport!$B$4:$CL$90,63,0),0)</f>
        <v>10218</v>
      </c>
      <c r="AT43" s="258">
        <f>IFERROR(VLOOKUP(A43,CFR20212022_BenchMarkDataReport!$B$4:$CL$90,64,0),0)</f>
        <v>65568</v>
      </c>
      <c r="AU43" s="258">
        <f>IFERROR(VLOOKUP(A43,CFR20212022_BenchMarkDataReport!$B$4:$CL$90,65,0),0)</f>
        <v>0</v>
      </c>
      <c r="AV43" s="258">
        <f>IFERROR(VLOOKUP(A43,CFR20212022_BenchMarkDataReport!$B$4:$CL$90,66,0),0)</f>
        <v>73572</v>
      </c>
      <c r="AW43" s="258">
        <f>IFERROR(VLOOKUP(A43,CFR20212022_BenchMarkDataReport!$B$4:$CL$90,67,0),0)</f>
        <v>41747</v>
      </c>
      <c r="AX43" s="258">
        <f>IFERROR(VLOOKUP(A43,CFR20212022_BenchMarkDataReport!$B$4:$CL$90,68,0),0)</f>
        <v>0</v>
      </c>
      <c r="AY43" s="258">
        <f>IFERROR(VLOOKUP(A43,CFR20212022_BenchMarkDataReport!$B$4:$CL$90,69,0),0)</f>
        <v>0</v>
      </c>
      <c r="AZ43" s="258">
        <f>IFERROR(VLOOKUP(A43,CFR20212022_BenchMarkDataReport!$B$4:$CL$90,70,0),0)</f>
        <v>0</v>
      </c>
      <c r="BA43" s="258">
        <f>IFERROR(VLOOKUP(A43,CFR20212022_BenchMarkDataReport!$B$4:$CL$90,71,0),0)</f>
        <v>0</v>
      </c>
      <c r="BB43" s="258">
        <f>IFERROR(VLOOKUP(A43,CFR20212022_BenchMarkDataReport!$B$4:$CL$90,72,0),0)</f>
        <v>0</v>
      </c>
      <c r="BC43" s="259">
        <f t="shared" si="84"/>
        <v>2484162</v>
      </c>
      <c r="BD43" s="260">
        <f t="shared" si="81"/>
        <v>2365990</v>
      </c>
      <c r="BE43" s="300">
        <f t="shared" si="82"/>
        <v>118172</v>
      </c>
      <c r="BF43" s="258">
        <f>IFERROR(VLOOKUP(A43,CFR20212022_BenchMarkDataReport!$B$4:$CL$90,16,0),0)</f>
        <v>630071.93000000005</v>
      </c>
      <c r="BG43" s="300">
        <f t="shared" si="83"/>
        <v>748243.93</v>
      </c>
      <c r="BH43" s="261">
        <f>IFERROR(VLOOKUP(A43,'Pupil Nos BenchmarkData 21-22'!$A$6:$E$94,5,0),0)</f>
        <v>246.5</v>
      </c>
      <c r="BI43" s="260">
        <f t="shared" si="1"/>
        <v>2158034</v>
      </c>
      <c r="BJ43" s="227" t="s">
        <v>183</v>
      </c>
      <c r="BK43" s="262">
        <f t="shared" si="85"/>
        <v>0.71556806681689844</v>
      </c>
      <c r="BL43" s="263">
        <f t="shared" si="86"/>
        <v>7211.3062880324542</v>
      </c>
      <c r="BM43" s="264">
        <f t="shared" si="87"/>
        <v>0</v>
      </c>
      <c r="BN43" s="265">
        <f t="shared" si="88"/>
        <v>0</v>
      </c>
      <c r="BO43" s="262">
        <f t="shared" si="89"/>
        <v>0.15314902973316555</v>
      </c>
      <c r="BP43" s="263">
        <f t="shared" si="90"/>
        <v>1543.3955375253549</v>
      </c>
      <c r="BQ43" s="264">
        <f t="shared" si="91"/>
        <v>0</v>
      </c>
      <c r="BR43" s="265">
        <f t="shared" si="92"/>
        <v>0</v>
      </c>
      <c r="BS43" s="262">
        <f t="shared" si="93"/>
        <v>5.5767296979826596E-2</v>
      </c>
      <c r="BT43" s="263">
        <f t="shared" si="94"/>
        <v>562.00811359026375</v>
      </c>
      <c r="BU43" s="264">
        <f t="shared" si="95"/>
        <v>4.758143792554592E-4</v>
      </c>
      <c r="BV43" s="265">
        <f t="shared" si="96"/>
        <v>4.7951318458417846</v>
      </c>
      <c r="BW43" s="262">
        <f t="shared" si="97"/>
        <v>1.6106034952631913E-3</v>
      </c>
      <c r="BX43" s="263">
        <f t="shared" si="98"/>
        <v>16.231237322515213</v>
      </c>
      <c r="BY43" s="264">
        <f t="shared" si="99"/>
        <v>2.7008705551409287E-2</v>
      </c>
      <c r="BZ43" s="266">
        <f t="shared" si="100"/>
        <v>272.18661257606493</v>
      </c>
      <c r="CA43" s="267">
        <f t="shared" si="101"/>
        <v>1.3362252542306018E-2</v>
      </c>
      <c r="CB43" s="268">
        <f t="shared" si="102"/>
        <v>134.66125760649086</v>
      </c>
      <c r="CC43" s="264">
        <f t="shared" si="103"/>
        <v>1.5151990892703455E-3</v>
      </c>
      <c r="CD43" s="265">
        <f t="shared" si="104"/>
        <v>15.269776876267748</v>
      </c>
      <c r="CE43" s="269">
        <f t="shared" si="105"/>
        <v>0.50075253679969822</v>
      </c>
      <c r="CF43" s="267">
        <f t="shared" si="106"/>
        <v>0.43501228985871293</v>
      </c>
      <c r="CG43" s="267">
        <f t="shared" si="107"/>
        <v>0.45673946212790417</v>
      </c>
      <c r="CH43" s="268">
        <f t="shared" si="108"/>
        <v>4383.9391480730219</v>
      </c>
      <c r="CI43" s="264">
        <f t="shared" si="109"/>
        <v>0.30219403401429262</v>
      </c>
      <c r="CJ43" s="270">
        <f t="shared" si="110"/>
        <v>0.26252112382364756</v>
      </c>
      <c r="CK43" s="270">
        <f t="shared" si="111"/>
        <v>0.27563303310664883</v>
      </c>
      <c r="CL43" s="271">
        <f t="shared" si="112"/>
        <v>2645.6186612576066</v>
      </c>
      <c r="CM43" s="269">
        <f t="shared" si="113"/>
        <v>3.7245474353045413E-2</v>
      </c>
      <c r="CN43" s="267">
        <f t="shared" si="114"/>
        <v>3.2355780339607482E-2</v>
      </c>
      <c r="CO43" s="267">
        <f t="shared" si="115"/>
        <v>3.3971825747361573E-2</v>
      </c>
      <c r="CP43" s="268">
        <f t="shared" si="116"/>
        <v>326.07302231237321</v>
      </c>
      <c r="CQ43" s="264">
        <f t="shared" si="117"/>
        <v>1.5119780318567734E-2</v>
      </c>
      <c r="CR43" s="270">
        <f t="shared" si="118"/>
        <v>1.3134811658820963E-2</v>
      </c>
      <c r="CS43" s="270">
        <f t="shared" si="119"/>
        <v>1.3790844424532649E-2</v>
      </c>
      <c r="CT43" s="265">
        <f t="shared" si="120"/>
        <v>132.36916835699796</v>
      </c>
      <c r="CU43" s="269">
        <f t="shared" si="121"/>
        <v>0.88501524999142733</v>
      </c>
      <c r="CV43" s="267">
        <f t="shared" si="122"/>
        <v>0.76882787837508182</v>
      </c>
      <c r="CW43" s="267">
        <f t="shared" si="123"/>
        <v>0.80722784119966695</v>
      </c>
      <c r="CX43" s="268">
        <f t="shared" si="124"/>
        <v>7748.0446247464506</v>
      </c>
      <c r="CY43" s="264">
        <f t="shared" si="125"/>
        <v>1.307208320165484E-2</v>
      </c>
      <c r="CZ43" s="270">
        <f t="shared" si="126"/>
        <v>1.1923127316683503E-2</v>
      </c>
      <c r="DA43" s="265">
        <f t="shared" si="127"/>
        <v>114.4421906693712</v>
      </c>
      <c r="DB43" s="269">
        <f t="shared" si="128"/>
        <v>5.4269037485365536E-4</v>
      </c>
      <c r="DC43" s="268">
        <f t="shared" si="129"/>
        <v>5.2089249492900604</v>
      </c>
      <c r="DD43" s="264">
        <f t="shared" si="130"/>
        <v>1.1882111217895548E-2</v>
      </c>
      <c r="DE43" s="270">
        <f t="shared" si="131"/>
        <v>1.0837746566976192E-2</v>
      </c>
      <c r="DF43" s="265">
        <f t="shared" si="132"/>
        <v>104.02434077079107</v>
      </c>
      <c r="DG43" s="269">
        <f t="shared" si="133"/>
        <v>5.7974063429955223E-3</v>
      </c>
      <c r="DH43" s="267">
        <f t="shared" si="134"/>
        <v>5.287849906381684E-3</v>
      </c>
      <c r="DI43" s="272">
        <f t="shared" si="135"/>
        <v>50.754563894523329</v>
      </c>
      <c r="DJ43" s="264">
        <f t="shared" si="136"/>
        <v>3.8010985925152244E-2</v>
      </c>
      <c r="DK43" s="270">
        <f t="shared" si="137"/>
        <v>3.3020793329903604E-2</v>
      </c>
      <c r="DL43" s="270">
        <f t="shared" si="138"/>
        <v>3.467005355052219E-2</v>
      </c>
      <c r="DM43" s="265">
        <f t="shared" si="139"/>
        <v>332.77484787018255</v>
      </c>
      <c r="DN43" s="269">
        <f t="shared" si="140"/>
        <v>7.6713341865790804E-3</v>
      </c>
      <c r="DO43" s="267">
        <f t="shared" si="141"/>
        <v>6.9970709935375892E-3</v>
      </c>
      <c r="DP43" s="268">
        <f t="shared" si="142"/>
        <v>67.16024340770791</v>
      </c>
      <c r="DQ43" s="264">
        <f t="shared" si="143"/>
        <v>3.4092141273029064E-2</v>
      </c>
      <c r="DR43" s="270">
        <f t="shared" si="144"/>
        <v>3.1095651291848232E-2</v>
      </c>
      <c r="DS43" s="265">
        <f t="shared" si="145"/>
        <v>298.46653144016227</v>
      </c>
      <c r="DT43" s="269">
        <f t="shared" si="146"/>
        <v>2.7712712226171707E-2</v>
      </c>
      <c r="DU43" s="268">
        <f t="shared" si="147"/>
        <v>265.99594320486813</v>
      </c>
      <c r="DV43" s="264">
        <f t="shared" si="2"/>
        <v>3.1137071585256066E-3</v>
      </c>
      <c r="DW43" s="265">
        <f t="shared" si="3"/>
        <v>29.886409736308316</v>
      </c>
      <c r="DX43" s="264">
        <f t="shared" si="148"/>
        <v>4.7728627074457587E-5</v>
      </c>
      <c r="DY43" s="270">
        <f t="shared" si="149"/>
        <v>4.1462674334443567E-5</v>
      </c>
      <c r="DZ43" s="270">
        <f t="shared" si="150"/>
        <v>4.3533573683743378E-5</v>
      </c>
      <c r="EA43" s="265">
        <f t="shared" si="151"/>
        <v>0.41784989858012173</v>
      </c>
      <c r="EB43" s="273">
        <f>IFERROR(VLOOKUP(A43,'BARNET SCHS PUPIL PREMIUM Nos'!$E$31:$V$117,17,0),0)</f>
        <v>103</v>
      </c>
      <c r="EC43" s="258">
        <f>IFERROR(VLOOKUP(A43,CFR20212022_BenchMarkDataReport!$B$4:$CL$90,36,0),0)</f>
        <v>0</v>
      </c>
      <c r="ED43" s="258">
        <f>IFERROR(VLOOKUP(A43,CFR20212022_BenchMarkDataReport!$B$4:$CL$90,37,0),0)</f>
        <v>0</v>
      </c>
      <c r="EE43" s="258">
        <f>IFERROR(VLOOKUP(A43,CFR20212022_BenchMarkDataReport!$B$4:$CL$90,38,0),0)</f>
        <v>0</v>
      </c>
      <c r="EF43" s="258">
        <f>IFERROR(VLOOKUP(A43,CFR20212022_BenchMarkDataReport!$B$4:$CL$90,39,0),0)</f>
        <v>65090</v>
      </c>
      <c r="EG43" s="227"/>
    </row>
    <row r="44" spans="1:137" s="5" customFormat="1">
      <c r="A44" s="147">
        <v>2037</v>
      </c>
      <c r="B44" s="298">
        <v>10075</v>
      </c>
      <c r="C44" s="147" t="s">
        <v>69</v>
      </c>
      <c r="D44" s="258">
        <f>IFERROR(VLOOKUP(A44,CFR20212022_BenchMarkDataReport!$B$4:$CL$90,19,0),0)</f>
        <v>1456514.98</v>
      </c>
      <c r="E44" s="258">
        <f>IFERROR(VLOOKUP(A44,CFR20212022_BenchMarkDataReport!$B$4:$CL$90,20,0),0)</f>
        <v>0</v>
      </c>
      <c r="F44" s="258">
        <f>IFERROR(VLOOKUP(A44,CFR20212022_BenchMarkDataReport!$B$4:$CL$90,21,0),0)</f>
        <v>62781.75</v>
      </c>
      <c r="G44" s="258">
        <f>IFERROR(VLOOKUP(A44,CFR20212022_BenchMarkDataReport!$B$4:$CL$90,22,0),0)</f>
        <v>0</v>
      </c>
      <c r="H44" s="258">
        <f>IFERROR(VLOOKUP(A44,CFR20212022_BenchMarkDataReport!$B$4:$CL$90,23,0),0)</f>
        <v>60232.99</v>
      </c>
      <c r="I44" s="258">
        <f>IFERROR(VLOOKUP(A44,CFR20212022_BenchMarkDataReport!$B$4:$CL$90,24,0),0)</f>
        <v>7500</v>
      </c>
      <c r="J44" s="258">
        <f>IFERROR(VLOOKUP(A44,CFR20212022_BenchMarkDataReport!$B$4:$CL$90,25,0),0)</f>
        <v>0</v>
      </c>
      <c r="K44" s="258">
        <f>IFERROR(VLOOKUP(A44,CFR20212022_BenchMarkDataReport!$B$4:$CL$90,26,0),0)</f>
        <v>16284</v>
      </c>
      <c r="L44" s="258">
        <f>IFERROR(VLOOKUP(A44,CFR20212022_BenchMarkDataReport!$B$4:$CL$90,27,0),0)</f>
        <v>47168.74</v>
      </c>
      <c r="M44" s="258">
        <f>IFERROR(VLOOKUP(A44,CFR20212022_BenchMarkDataReport!$B$4:$CL$90,28,0),0)</f>
        <v>21503.74</v>
      </c>
      <c r="N44" s="258">
        <f>IFERROR(VLOOKUP(A44,CFR20212022_BenchMarkDataReport!$B$4:$CL$90,29,0),0)</f>
        <v>3367</v>
      </c>
      <c r="O44" s="258">
        <f>IFERROR(VLOOKUP(A44,CFR20212022_BenchMarkDataReport!$B$4:$CL$90,30,0),0)</f>
        <v>1560</v>
      </c>
      <c r="P44" s="258">
        <f>IFERROR(VLOOKUP(A44,CFR20212022_BenchMarkDataReport!$B$4:$CL$90,31,0),0)</f>
        <v>29761.3</v>
      </c>
      <c r="Q44" s="258">
        <f>IFERROR(VLOOKUP(A44,CFR20212022_BenchMarkDataReport!$B$4:$CL$90,32,0),0)</f>
        <v>11753.19</v>
      </c>
      <c r="R44" s="258">
        <f>IFERROR(VLOOKUP(A44,CFR20212022_BenchMarkDataReport!$B$4:$CL$90,33,0),0)</f>
        <v>0</v>
      </c>
      <c r="S44" s="258">
        <f>IFERROR(VLOOKUP(A44,CFR20212022_BenchMarkDataReport!$B$4:$CL$90,34,0),0)</f>
        <v>0</v>
      </c>
      <c r="T44" s="258">
        <f>IFERROR(VLOOKUP(A44,CFR20212022_BenchMarkDataReport!$B$4:$CL$90,35,0),0)</f>
        <v>0</v>
      </c>
      <c r="U44" s="258">
        <f t="shared" si="0"/>
        <v>59108.5</v>
      </c>
      <c r="V44" s="258">
        <f>IFERROR(VLOOKUP(A44,CFR20212022_BenchMarkDataReport!$B$4:$CL$90,40,0),0)</f>
        <v>706572.26</v>
      </c>
      <c r="W44" s="258">
        <f>IFERROR(VLOOKUP(A44,CFR20212022_BenchMarkDataReport!$B$4:$CL$90,41,0),0)</f>
        <v>0</v>
      </c>
      <c r="X44" s="258">
        <f>IFERROR(VLOOKUP(A44,CFR20212022_BenchMarkDataReport!$B$4:$CL$90,42,0),0)</f>
        <v>362057.81</v>
      </c>
      <c r="Y44" s="258">
        <f>IFERROR(VLOOKUP(A44,CFR20212022_BenchMarkDataReport!$B$4:$CL$90,43,0),0)</f>
        <v>40272.6</v>
      </c>
      <c r="Z44" s="258">
        <f>IFERROR(VLOOKUP(A44,CFR20212022_BenchMarkDataReport!$B$4:$CL$90,44,0),0)</f>
        <v>58928.79</v>
      </c>
      <c r="AA44" s="258">
        <f>IFERROR(VLOOKUP(A44,CFR20212022_BenchMarkDataReport!$B$4:$CL$90,45,0),0)</f>
        <v>0</v>
      </c>
      <c r="AB44" s="258">
        <f>IFERROR(VLOOKUP(A44,CFR20212022_BenchMarkDataReport!$B$4:$CL$90,46,0),0)</f>
        <v>80602.63</v>
      </c>
      <c r="AC44" s="258">
        <f>IFERROR(VLOOKUP(A44,CFR20212022_BenchMarkDataReport!$B$4:$CL$90,47,0),0)</f>
        <v>8548.68</v>
      </c>
      <c r="AD44" s="258">
        <f>IFERROR(VLOOKUP(A44,CFR20212022_BenchMarkDataReport!$B$4:$CL$90,48,0),0)</f>
        <v>2704.65</v>
      </c>
      <c r="AE44" s="258">
        <f>IFERROR(VLOOKUP(A44,CFR20212022_BenchMarkDataReport!$B$4:$CL$90,49,0),0)</f>
        <v>434.6</v>
      </c>
      <c r="AF44" s="258">
        <f>IFERROR(VLOOKUP(A44,CFR20212022_BenchMarkDataReport!$B$4:$CL$90,50,0),0)</f>
        <v>1958</v>
      </c>
      <c r="AG44" s="258">
        <f>IFERROR(VLOOKUP(A44,CFR20212022_BenchMarkDataReport!$B$4:$CL$90,51,0),0)</f>
        <v>6581.76</v>
      </c>
      <c r="AH44" s="258">
        <f>IFERROR(VLOOKUP(A44,CFR20212022_BenchMarkDataReport!$B$4:$CL$90,52,0),0)</f>
        <v>182.88</v>
      </c>
      <c r="AI44" s="258">
        <f>IFERROR(VLOOKUP(A44,CFR20212022_BenchMarkDataReport!$B$4:$CL$90,53,0),0)</f>
        <v>28744.6</v>
      </c>
      <c r="AJ44" s="258">
        <f>IFERROR(VLOOKUP(A44,CFR20212022_BenchMarkDataReport!$B$4:$CL$90,54,0),0)</f>
        <v>1725.27</v>
      </c>
      <c r="AK44" s="258">
        <f>IFERROR(VLOOKUP(A44,CFR20212022_BenchMarkDataReport!$B$4:$CL$90,55,0),0)</f>
        <v>36511.43</v>
      </c>
      <c r="AL44" s="258">
        <f>IFERROR(VLOOKUP(A44,CFR20212022_BenchMarkDataReport!$B$4:$CL$90,56,0),0)</f>
        <v>27431</v>
      </c>
      <c r="AM44" s="258">
        <f>IFERROR(VLOOKUP(A44,CFR20212022_BenchMarkDataReport!$B$4:$CL$90,57,0),0)</f>
        <v>7898.39</v>
      </c>
      <c r="AN44" s="258">
        <f>IFERROR(VLOOKUP(A44,CFR20212022_BenchMarkDataReport!$B$4:$CL$90,58,0),0)</f>
        <v>50474.61</v>
      </c>
      <c r="AO44" s="258">
        <f>IFERROR(VLOOKUP(A44,CFR20212022_BenchMarkDataReport!$B$4:$CL$90,59,0),0)</f>
        <v>12201.44</v>
      </c>
      <c r="AP44" s="258">
        <f>IFERROR(VLOOKUP(A44,CFR20212022_BenchMarkDataReport!$B$4:$CL$90,60,0),0)</f>
        <v>0</v>
      </c>
      <c r="AQ44" s="258">
        <f>IFERROR(VLOOKUP(A44,CFR20212022_BenchMarkDataReport!$B$4:$CL$90,61,0),0)</f>
        <v>9824.6299999999992</v>
      </c>
      <c r="AR44" s="258">
        <f>IFERROR(VLOOKUP(A44,CFR20212022_BenchMarkDataReport!$B$4:$CL$90,62,0),0)</f>
        <v>8088.55</v>
      </c>
      <c r="AS44" s="258">
        <f>IFERROR(VLOOKUP(A44,CFR20212022_BenchMarkDataReport!$B$4:$CL$90,63,0),0)</f>
        <v>11233.31</v>
      </c>
      <c r="AT44" s="258">
        <f>IFERROR(VLOOKUP(A44,CFR20212022_BenchMarkDataReport!$B$4:$CL$90,64,0),0)</f>
        <v>64663.77</v>
      </c>
      <c r="AU44" s="258">
        <f>IFERROR(VLOOKUP(A44,CFR20212022_BenchMarkDataReport!$B$4:$CL$90,65,0),0)</f>
        <v>37517.01</v>
      </c>
      <c r="AV44" s="258">
        <f>IFERROR(VLOOKUP(A44,CFR20212022_BenchMarkDataReport!$B$4:$CL$90,66,0),0)</f>
        <v>60050.3</v>
      </c>
      <c r="AW44" s="258">
        <f>IFERROR(VLOOKUP(A44,CFR20212022_BenchMarkDataReport!$B$4:$CL$90,67,0),0)</f>
        <v>31696.09</v>
      </c>
      <c r="AX44" s="258">
        <f>IFERROR(VLOOKUP(A44,CFR20212022_BenchMarkDataReport!$B$4:$CL$90,68,0),0)</f>
        <v>750</v>
      </c>
      <c r="AY44" s="258">
        <f>IFERROR(VLOOKUP(A44,CFR20212022_BenchMarkDataReport!$B$4:$CL$90,69,0),0)</f>
        <v>0</v>
      </c>
      <c r="AZ44" s="258">
        <f>IFERROR(VLOOKUP(A44,CFR20212022_BenchMarkDataReport!$B$4:$CL$90,70,0),0)</f>
        <v>0</v>
      </c>
      <c r="BA44" s="258">
        <f>IFERROR(VLOOKUP(A44,CFR20212022_BenchMarkDataReport!$B$4:$CL$90,71,0),0)</f>
        <v>0</v>
      </c>
      <c r="BB44" s="258">
        <f>IFERROR(VLOOKUP(A44,CFR20212022_BenchMarkDataReport!$B$4:$CL$90,72,0),0)</f>
        <v>0</v>
      </c>
      <c r="BC44" s="259">
        <f t="shared" si="84"/>
        <v>1777536.19</v>
      </c>
      <c r="BD44" s="260">
        <f t="shared" si="81"/>
        <v>1657655.0600000003</v>
      </c>
      <c r="BE44" s="300">
        <f t="shared" si="82"/>
        <v>119881.12999999966</v>
      </c>
      <c r="BF44" s="258">
        <f>IFERROR(VLOOKUP(A44,CFR20212022_BenchMarkDataReport!$B$4:$CL$90,16,0),0)</f>
        <v>94671.74</v>
      </c>
      <c r="BG44" s="300">
        <f t="shared" si="83"/>
        <v>214552.86999999965</v>
      </c>
      <c r="BH44" s="261">
        <f>IFERROR(VLOOKUP(A44,'Pupil Nos BenchmarkData 21-22'!$A$6:$E$94,5,0),0)</f>
        <v>263</v>
      </c>
      <c r="BI44" s="260">
        <f t="shared" si="1"/>
        <v>1519296.73</v>
      </c>
      <c r="BJ44" s="227" t="s">
        <v>183</v>
      </c>
      <c r="BK44" s="262">
        <f t="shared" si="85"/>
        <v>0.81940102721621666</v>
      </c>
      <c r="BL44" s="263">
        <f t="shared" si="86"/>
        <v>5538.0797718631175</v>
      </c>
      <c r="BM44" s="264">
        <f t="shared" si="87"/>
        <v>0</v>
      </c>
      <c r="BN44" s="265">
        <f t="shared" si="88"/>
        <v>0</v>
      </c>
      <c r="BO44" s="262">
        <f t="shared" si="89"/>
        <v>3.5319534056856533E-2</v>
      </c>
      <c r="BP44" s="263">
        <f t="shared" si="90"/>
        <v>238.71387832699619</v>
      </c>
      <c r="BQ44" s="264">
        <f t="shared" si="91"/>
        <v>0</v>
      </c>
      <c r="BR44" s="265">
        <f t="shared" si="92"/>
        <v>0</v>
      </c>
      <c r="BS44" s="262">
        <f t="shared" si="93"/>
        <v>3.3885661703461578E-2</v>
      </c>
      <c r="BT44" s="263">
        <f t="shared" si="94"/>
        <v>229.02277566539922</v>
      </c>
      <c r="BU44" s="264">
        <f t="shared" si="95"/>
        <v>4.2193233770390914E-3</v>
      </c>
      <c r="BV44" s="265">
        <f t="shared" si="96"/>
        <v>28.517110266159698</v>
      </c>
      <c r="BW44" s="262">
        <f t="shared" si="97"/>
        <v>0</v>
      </c>
      <c r="BX44" s="263">
        <f t="shared" si="98"/>
        <v>0</v>
      </c>
      <c r="BY44" s="264">
        <f t="shared" si="99"/>
        <v>3.5697017229224456E-2</v>
      </c>
      <c r="BZ44" s="266">
        <f t="shared" si="100"/>
        <v>241.26517110266158</v>
      </c>
      <c r="CA44" s="267">
        <f t="shared" si="101"/>
        <v>1.6743006509476469E-2</v>
      </c>
      <c r="CB44" s="268">
        <f t="shared" si="102"/>
        <v>113.16083650190114</v>
      </c>
      <c r="CC44" s="264">
        <f t="shared" si="103"/>
        <v>6.6120679095709447E-3</v>
      </c>
      <c r="CD44" s="265">
        <f t="shared" si="104"/>
        <v>44.688935361216735</v>
      </c>
      <c r="CE44" s="269">
        <f t="shared" si="105"/>
        <v>0.48975901501479574</v>
      </c>
      <c r="CF44" s="267">
        <f t="shared" si="106"/>
        <v>0.41860710020199365</v>
      </c>
      <c r="CG44" s="267">
        <f t="shared" si="107"/>
        <v>0.44888064347959089</v>
      </c>
      <c r="CH44" s="268">
        <f t="shared" si="108"/>
        <v>2829.2367680608368</v>
      </c>
      <c r="CI44" s="264">
        <f t="shared" si="109"/>
        <v>0.23830618657357341</v>
      </c>
      <c r="CJ44" s="270">
        <f t="shared" si="110"/>
        <v>0.20368519754301037</v>
      </c>
      <c r="CK44" s="270">
        <f t="shared" si="111"/>
        <v>0.21841565156504872</v>
      </c>
      <c r="CL44" s="271">
        <f t="shared" si="112"/>
        <v>1376.6456653992395</v>
      </c>
      <c r="CM44" s="269">
        <f t="shared" si="113"/>
        <v>2.65073959581286E-2</v>
      </c>
      <c r="CN44" s="267">
        <f t="shared" si="114"/>
        <v>2.2656416351219268E-2</v>
      </c>
      <c r="CO44" s="267">
        <f t="shared" si="115"/>
        <v>2.4294921767379029E-2</v>
      </c>
      <c r="CP44" s="268">
        <f t="shared" si="116"/>
        <v>153.12775665399238</v>
      </c>
      <c r="CQ44" s="264">
        <f t="shared" si="117"/>
        <v>3.8786886614308715E-2</v>
      </c>
      <c r="CR44" s="270">
        <f t="shared" si="118"/>
        <v>3.315194949701699E-2</v>
      </c>
      <c r="CS44" s="270">
        <f t="shared" si="119"/>
        <v>3.5549488806193484E-2</v>
      </c>
      <c r="CT44" s="265">
        <f t="shared" si="120"/>
        <v>224.06384030418252</v>
      </c>
      <c r="CU44" s="269">
        <f t="shared" si="121"/>
        <v>0.82171840783202388</v>
      </c>
      <c r="CV44" s="267">
        <f t="shared" si="122"/>
        <v>0.70233961875060358</v>
      </c>
      <c r="CW44" s="267">
        <f t="shared" si="123"/>
        <v>0.75313261493618588</v>
      </c>
      <c r="CX44" s="268">
        <f t="shared" si="124"/>
        <v>4746.8976806083665</v>
      </c>
      <c r="CY44" s="264">
        <f t="shared" si="125"/>
        <v>4.3321096333828087E-3</v>
      </c>
      <c r="CZ44" s="270">
        <f t="shared" si="126"/>
        <v>3.9705244829403765E-3</v>
      </c>
      <c r="DA44" s="265">
        <f t="shared" si="127"/>
        <v>25.025703422053233</v>
      </c>
      <c r="DB44" s="269">
        <f t="shared" si="128"/>
        <v>1.0407895114198243E-3</v>
      </c>
      <c r="DC44" s="268">
        <f t="shared" si="129"/>
        <v>6.5599619771863118</v>
      </c>
      <c r="DD44" s="264">
        <f t="shared" si="130"/>
        <v>2.4031796606315346E-2</v>
      </c>
      <c r="DE44" s="270">
        <f t="shared" si="131"/>
        <v>2.2025951526972079E-2</v>
      </c>
      <c r="DF44" s="265">
        <f t="shared" si="132"/>
        <v>138.82673003802282</v>
      </c>
      <c r="DG44" s="269">
        <f t="shared" si="133"/>
        <v>5.1987145394566869E-3</v>
      </c>
      <c r="DH44" s="267">
        <f t="shared" si="134"/>
        <v>4.7647970863129987E-3</v>
      </c>
      <c r="DI44" s="272">
        <f t="shared" si="135"/>
        <v>30.031901140684411</v>
      </c>
      <c r="DJ44" s="264">
        <f t="shared" si="136"/>
        <v>3.3222351502066358E-2</v>
      </c>
      <c r="DK44" s="270">
        <f t="shared" si="137"/>
        <v>2.8395826922657481E-2</v>
      </c>
      <c r="DL44" s="270">
        <f t="shared" si="138"/>
        <v>3.0449404835768419E-2</v>
      </c>
      <c r="DM44" s="265">
        <f t="shared" si="139"/>
        <v>191.91866920152091</v>
      </c>
      <c r="DN44" s="269">
        <f t="shared" si="140"/>
        <v>6.4665643030772527E-3</v>
      </c>
      <c r="DO44" s="267">
        <f t="shared" si="141"/>
        <v>5.9268241246764556E-3</v>
      </c>
      <c r="DP44" s="268">
        <f t="shared" si="142"/>
        <v>37.356007604562734</v>
      </c>
      <c r="DQ44" s="264">
        <f t="shared" si="143"/>
        <v>3.9525063678640317E-2</v>
      </c>
      <c r="DR44" s="270">
        <f t="shared" si="144"/>
        <v>3.6226052964239731E-2</v>
      </c>
      <c r="DS44" s="265">
        <f t="shared" si="145"/>
        <v>228.32813688212929</v>
      </c>
      <c r="DT44" s="269">
        <f t="shared" si="146"/>
        <v>3.9009183249499438E-2</v>
      </c>
      <c r="DU44" s="268">
        <f t="shared" si="147"/>
        <v>245.86984790874524</v>
      </c>
      <c r="DV44" s="264">
        <f t="shared" si="2"/>
        <v>1.7340519565029407E-2</v>
      </c>
      <c r="DW44" s="265">
        <f t="shared" si="3"/>
        <v>109.29505703422053</v>
      </c>
      <c r="DX44" s="264">
        <f t="shared" si="148"/>
        <v>2.8302568649640943E-5</v>
      </c>
      <c r="DY44" s="270">
        <f t="shared" si="149"/>
        <v>2.419078736169079E-5</v>
      </c>
      <c r="DZ44" s="270">
        <f t="shared" si="150"/>
        <v>2.5940258041380451E-5</v>
      </c>
      <c r="EA44" s="265">
        <f t="shared" si="151"/>
        <v>0.1634980988593156</v>
      </c>
      <c r="EB44" s="273">
        <f>IFERROR(VLOOKUP(A44,'BARNET SCHS PUPIL PREMIUM Nos'!$E$31:$V$117,17,0),0)</f>
        <v>43</v>
      </c>
      <c r="EC44" s="258">
        <f>IFERROR(VLOOKUP(A44,CFR20212022_BenchMarkDataReport!$B$4:$CL$90,36,0),0)</f>
        <v>0</v>
      </c>
      <c r="ED44" s="258">
        <f>IFERROR(VLOOKUP(A44,CFR20212022_BenchMarkDataReport!$B$4:$CL$90,37,0),0)</f>
        <v>0</v>
      </c>
      <c r="EE44" s="258">
        <f>IFERROR(VLOOKUP(A44,CFR20212022_BenchMarkDataReport!$B$4:$CL$90,38,0),0)</f>
        <v>14782.5</v>
      </c>
      <c r="EF44" s="258">
        <f>IFERROR(VLOOKUP(A44,CFR20212022_BenchMarkDataReport!$B$4:$CL$90,39,0),0)</f>
        <v>44326</v>
      </c>
      <c r="EG44" s="227"/>
    </row>
    <row r="45" spans="1:137" s="5" customFormat="1">
      <c r="A45" s="147">
        <v>3523</v>
      </c>
      <c r="B45" s="298">
        <v>11093</v>
      </c>
      <c r="C45" s="147" t="s">
        <v>70</v>
      </c>
      <c r="D45" s="258">
        <f>IFERROR(VLOOKUP(A45,CFR20212022_BenchMarkDataReport!$B$4:$CL$90,19,0),0)</f>
        <v>3136477.4</v>
      </c>
      <c r="E45" s="258">
        <f>IFERROR(VLOOKUP(A45,CFR20212022_BenchMarkDataReport!$B$4:$CL$90,20,0),0)</f>
        <v>0</v>
      </c>
      <c r="F45" s="258">
        <f>IFERROR(VLOOKUP(A45,CFR20212022_BenchMarkDataReport!$B$4:$CL$90,21,0),0)</f>
        <v>106515.43</v>
      </c>
      <c r="G45" s="258">
        <f>IFERROR(VLOOKUP(A45,CFR20212022_BenchMarkDataReport!$B$4:$CL$90,22,0),0)</f>
        <v>0</v>
      </c>
      <c r="H45" s="258">
        <f>IFERROR(VLOOKUP(A45,CFR20212022_BenchMarkDataReport!$B$4:$CL$90,23,0),0)</f>
        <v>147331.92000000001</v>
      </c>
      <c r="I45" s="258">
        <f>IFERROR(VLOOKUP(A45,CFR20212022_BenchMarkDataReport!$B$4:$CL$90,24,0),0)</f>
        <v>0</v>
      </c>
      <c r="J45" s="258">
        <f>IFERROR(VLOOKUP(A45,CFR20212022_BenchMarkDataReport!$B$4:$CL$90,25,0),0)</f>
        <v>3000</v>
      </c>
      <c r="K45" s="258">
        <f>IFERROR(VLOOKUP(A45,CFR20212022_BenchMarkDataReport!$B$4:$CL$90,26,0),0)</f>
        <v>82823.759999999995</v>
      </c>
      <c r="L45" s="258">
        <f>IFERROR(VLOOKUP(A45,CFR20212022_BenchMarkDataReport!$B$4:$CL$90,27,0),0)</f>
        <v>99295.01</v>
      </c>
      <c r="M45" s="258">
        <f>IFERROR(VLOOKUP(A45,CFR20212022_BenchMarkDataReport!$B$4:$CL$90,28,0),0)</f>
        <v>58725.64</v>
      </c>
      <c r="N45" s="258">
        <f>IFERROR(VLOOKUP(A45,CFR20212022_BenchMarkDataReport!$B$4:$CL$90,29,0),0)</f>
        <v>1350</v>
      </c>
      <c r="O45" s="258">
        <f>IFERROR(VLOOKUP(A45,CFR20212022_BenchMarkDataReport!$B$4:$CL$90,30,0),0)</f>
        <v>0</v>
      </c>
      <c r="P45" s="258">
        <f>IFERROR(VLOOKUP(A45,CFR20212022_BenchMarkDataReport!$B$4:$CL$90,31,0),0)</f>
        <v>55297.85</v>
      </c>
      <c r="Q45" s="258">
        <f>IFERROR(VLOOKUP(A45,CFR20212022_BenchMarkDataReport!$B$4:$CL$90,32,0),0)</f>
        <v>23809.83</v>
      </c>
      <c r="R45" s="258">
        <f>IFERROR(VLOOKUP(A45,CFR20212022_BenchMarkDataReport!$B$4:$CL$90,33,0),0)</f>
        <v>0</v>
      </c>
      <c r="S45" s="258">
        <f>IFERROR(VLOOKUP(A45,CFR20212022_BenchMarkDataReport!$B$4:$CL$90,34,0),0)</f>
        <v>0</v>
      </c>
      <c r="T45" s="258">
        <f>IFERROR(VLOOKUP(A45,CFR20212022_BenchMarkDataReport!$B$4:$CL$90,35,0),0)</f>
        <v>0</v>
      </c>
      <c r="U45" s="258">
        <f t="shared" si="0"/>
        <v>141409.71</v>
      </c>
      <c r="V45" s="258">
        <f>IFERROR(VLOOKUP(A45,CFR20212022_BenchMarkDataReport!$B$4:$CL$90,40,0),0)</f>
        <v>1765709.69</v>
      </c>
      <c r="W45" s="258">
        <f>IFERROR(VLOOKUP(A45,CFR20212022_BenchMarkDataReport!$B$4:$CL$90,41,0),0)</f>
        <v>0</v>
      </c>
      <c r="X45" s="258">
        <f>IFERROR(VLOOKUP(A45,CFR20212022_BenchMarkDataReport!$B$4:$CL$90,42,0),0)</f>
        <v>938973.26</v>
      </c>
      <c r="Y45" s="258">
        <f>IFERROR(VLOOKUP(A45,CFR20212022_BenchMarkDataReport!$B$4:$CL$90,43,0),0)</f>
        <v>166934.07</v>
      </c>
      <c r="Z45" s="258">
        <f>IFERROR(VLOOKUP(A45,CFR20212022_BenchMarkDataReport!$B$4:$CL$90,44,0),0)</f>
        <v>133235.15</v>
      </c>
      <c r="AA45" s="258">
        <f>IFERROR(VLOOKUP(A45,CFR20212022_BenchMarkDataReport!$B$4:$CL$90,45,0),0)</f>
        <v>0</v>
      </c>
      <c r="AB45" s="258">
        <f>IFERROR(VLOOKUP(A45,CFR20212022_BenchMarkDataReport!$B$4:$CL$90,46,0),0)</f>
        <v>154380.74</v>
      </c>
      <c r="AC45" s="258">
        <f>IFERROR(VLOOKUP(A45,CFR20212022_BenchMarkDataReport!$B$4:$CL$90,47,0),0)</f>
        <v>21634.02</v>
      </c>
      <c r="AD45" s="258">
        <f>IFERROR(VLOOKUP(A45,CFR20212022_BenchMarkDataReport!$B$4:$CL$90,48,0),0)</f>
        <v>697.5</v>
      </c>
      <c r="AE45" s="258">
        <f>IFERROR(VLOOKUP(A45,CFR20212022_BenchMarkDataReport!$B$4:$CL$90,49,0),0)</f>
        <v>8277.52</v>
      </c>
      <c r="AF45" s="258">
        <f>IFERROR(VLOOKUP(A45,CFR20212022_BenchMarkDataReport!$B$4:$CL$90,50,0),0)</f>
        <v>0</v>
      </c>
      <c r="AG45" s="258">
        <f>IFERROR(VLOOKUP(A45,CFR20212022_BenchMarkDataReport!$B$4:$CL$90,51,0),0)</f>
        <v>13193.71</v>
      </c>
      <c r="AH45" s="258">
        <f>IFERROR(VLOOKUP(A45,CFR20212022_BenchMarkDataReport!$B$4:$CL$90,52,0),0)</f>
        <v>262.5</v>
      </c>
      <c r="AI45" s="258">
        <f>IFERROR(VLOOKUP(A45,CFR20212022_BenchMarkDataReport!$B$4:$CL$90,53,0),0)</f>
        <v>9128.7099999999991</v>
      </c>
      <c r="AJ45" s="258">
        <f>IFERROR(VLOOKUP(A45,CFR20212022_BenchMarkDataReport!$B$4:$CL$90,54,0),0)</f>
        <v>1777.16</v>
      </c>
      <c r="AK45" s="258">
        <f>IFERROR(VLOOKUP(A45,CFR20212022_BenchMarkDataReport!$B$4:$CL$90,55,0),0)</f>
        <v>41680.53</v>
      </c>
      <c r="AL45" s="258">
        <f>IFERROR(VLOOKUP(A45,CFR20212022_BenchMarkDataReport!$B$4:$CL$90,56,0),0)</f>
        <v>56924</v>
      </c>
      <c r="AM45" s="258">
        <f>IFERROR(VLOOKUP(A45,CFR20212022_BenchMarkDataReport!$B$4:$CL$90,57,0),0)</f>
        <v>12362.54</v>
      </c>
      <c r="AN45" s="258">
        <f>IFERROR(VLOOKUP(A45,CFR20212022_BenchMarkDataReport!$B$4:$CL$90,58,0),0)</f>
        <v>110514.21</v>
      </c>
      <c r="AO45" s="258">
        <f>IFERROR(VLOOKUP(A45,CFR20212022_BenchMarkDataReport!$B$4:$CL$90,59,0),0)</f>
        <v>12388.22</v>
      </c>
      <c r="AP45" s="258">
        <f>IFERROR(VLOOKUP(A45,CFR20212022_BenchMarkDataReport!$B$4:$CL$90,60,0),0)</f>
        <v>0</v>
      </c>
      <c r="AQ45" s="258">
        <f>IFERROR(VLOOKUP(A45,CFR20212022_BenchMarkDataReport!$B$4:$CL$90,61,0),0)</f>
        <v>11060.91</v>
      </c>
      <c r="AR45" s="258">
        <f>IFERROR(VLOOKUP(A45,CFR20212022_BenchMarkDataReport!$B$4:$CL$90,62,0),0)</f>
        <v>18542.27</v>
      </c>
      <c r="AS45" s="258">
        <f>IFERROR(VLOOKUP(A45,CFR20212022_BenchMarkDataReport!$B$4:$CL$90,63,0),0)</f>
        <v>641.77</v>
      </c>
      <c r="AT45" s="258">
        <f>IFERROR(VLOOKUP(A45,CFR20212022_BenchMarkDataReport!$B$4:$CL$90,64,0),0)</f>
        <v>161938.43</v>
      </c>
      <c r="AU45" s="258">
        <f>IFERROR(VLOOKUP(A45,CFR20212022_BenchMarkDataReport!$B$4:$CL$90,65,0),0)</f>
        <v>26549.58</v>
      </c>
      <c r="AV45" s="258">
        <f>IFERROR(VLOOKUP(A45,CFR20212022_BenchMarkDataReport!$B$4:$CL$90,66,0),0)</f>
        <v>118247.62</v>
      </c>
      <c r="AW45" s="258">
        <f>IFERROR(VLOOKUP(A45,CFR20212022_BenchMarkDataReport!$B$4:$CL$90,67,0),0)</f>
        <v>39744.04</v>
      </c>
      <c r="AX45" s="258">
        <f>IFERROR(VLOOKUP(A45,CFR20212022_BenchMarkDataReport!$B$4:$CL$90,68,0),0)</f>
        <v>0</v>
      </c>
      <c r="AY45" s="258">
        <f>IFERROR(VLOOKUP(A45,CFR20212022_BenchMarkDataReport!$B$4:$CL$90,69,0),0)</f>
        <v>0</v>
      </c>
      <c r="AZ45" s="258">
        <f>IFERROR(VLOOKUP(A45,CFR20212022_BenchMarkDataReport!$B$4:$CL$90,70,0),0)</f>
        <v>0</v>
      </c>
      <c r="BA45" s="258">
        <f>IFERROR(VLOOKUP(A45,CFR20212022_BenchMarkDataReport!$B$4:$CL$90,71,0),0)</f>
        <v>0</v>
      </c>
      <c r="BB45" s="258">
        <f>IFERROR(VLOOKUP(A45,CFR20212022_BenchMarkDataReport!$B$4:$CL$90,72,0),0)</f>
        <v>0</v>
      </c>
      <c r="BC45" s="259">
        <f t="shared" si="84"/>
        <v>3856036.55</v>
      </c>
      <c r="BD45" s="260">
        <f t="shared" si="81"/>
        <v>3824798.1500000008</v>
      </c>
      <c r="BE45" s="300">
        <f t="shared" si="82"/>
        <v>31238.399999998976</v>
      </c>
      <c r="BF45" s="258">
        <f>IFERROR(VLOOKUP(A45,CFR20212022_BenchMarkDataReport!$B$4:$CL$90,16,0),0)</f>
        <v>138754.47</v>
      </c>
      <c r="BG45" s="300">
        <f t="shared" si="83"/>
        <v>169992.86999999898</v>
      </c>
      <c r="BH45" s="261">
        <f>IFERROR(VLOOKUP(A45,'Pupil Nos BenchmarkData 21-22'!$A$6:$E$94,5,0),0)</f>
        <v>663</v>
      </c>
      <c r="BI45" s="260">
        <f t="shared" si="1"/>
        <v>3242992.83</v>
      </c>
      <c r="BJ45" s="227" t="s">
        <v>183</v>
      </c>
      <c r="BK45" s="262">
        <f t="shared" si="85"/>
        <v>0.81339410540597701</v>
      </c>
      <c r="BL45" s="263">
        <f t="shared" si="86"/>
        <v>4730.7351432880841</v>
      </c>
      <c r="BM45" s="264">
        <f t="shared" si="87"/>
        <v>0</v>
      </c>
      <c r="BN45" s="265">
        <f t="shared" si="88"/>
        <v>0</v>
      </c>
      <c r="BO45" s="262">
        <f t="shared" si="89"/>
        <v>2.7623034330418884E-2</v>
      </c>
      <c r="BP45" s="263">
        <f t="shared" si="90"/>
        <v>160.65675716440421</v>
      </c>
      <c r="BQ45" s="264">
        <f t="shared" si="91"/>
        <v>0</v>
      </c>
      <c r="BR45" s="265">
        <f t="shared" si="92"/>
        <v>0</v>
      </c>
      <c r="BS45" s="262">
        <f t="shared" si="93"/>
        <v>3.8208123312524107E-2</v>
      </c>
      <c r="BT45" s="263">
        <f t="shared" si="94"/>
        <v>222.22009049773757</v>
      </c>
      <c r="BU45" s="264">
        <f t="shared" si="95"/>
        <v>0</v>
      </c>
      <c r="BV45" s="265">
        <f t="shared" si="96"/>
        <v>0</v>
      </c>
      <c r="BW45" s="262">
        <f t="shared" si="97"/>
        <v>7.7800092429103145E-4</v>
      </c>
      <c r="BX45" s="263">
        <f t="shared" si="98"/>
        <v>4.5248868778280542</v>
      </c>
      <c r="BY45" s="264">
        <f t="shared" si="99"/>
        <v>4.7229523796915251E-2</v>
      </c>
      <c r="BZ45" s="266">
        <f t="shared" si="100"/>
        <v>274.68894419306184</v>
      </c>
      <c r="CA45" s="267">
        <f t="shared" si="101"/>
        <v>1.4340592803768938E-2</v>
      </c>
      <c r="CB45" s="268">
        <f t="shared" si="102"/>
        <v>83.405505279034685</v>
      </c>
      <c r="CC45" s="264">
        <f t="shared" si="103"/>
        <v>6.1746899157374439E-3</v>
      </c>
      <c r="CD45" s="265">
        <f t="shared" si="104"/>
        <v>35.912262443438919</v>
      </c>
      <c r="CE45" s="269">
        <f t="shared" si="105"/>
        <v>0.55265594589674127</v>
      </c>
      <c r="CF45" s="267">
        <f t="shared" si="106"/>
        <v>0.4647931228763898</v>
      </c>
      <c r="CG45" s="267">
        <f t="shared" si="107"/>
        <v>0.46858924306894462</v>
      </c>
      <c r="CH45" s="268">
        <f t="shared" si="108"/>
        <v>2703.2568174962294</v>
      </c>
      <c r="CI45" s="264">
        <f t="shared" si="109"/>
        <v>0.28953911069855803</v>
      </c>
      <c r="CJ45" s="270">
        <f t="shared" si="110"/>
        <v>0.24350735472152099</v>
      </c>
      <c r="CK45" s="270">
        <f t="shared" si="111"/>
        <v>0.24549616036600513</v>
      </c>
      <c r="CL45" s="271">
        <f t="shared" si="112"/>
        <v>1416.2492609351434</v>
      </c>
      <c r="CM45" s="269">
        <f t="shared" si="113"/>
        <v>5.1475312697499859E-2</v>
      </c>
      <c r="CN45" s="267">
        <f t="shared" si="114"/>
        <v>4.3291620251887916E-2</v>
      </c>
      <c r="CO45" s="267">
        <f t="shared" si="115"/>
        <v>4.3645197328910014E-2</v>
      </c>
      <c r="CP45" s="268">
        <f t="shared" si="116"/>
        <v>251.78592760180996</v>
      </c>
      <c r="CQ45" s="264">
        <f t="shared" si="117"/>
        <v>4.1084010043895162E-2</v>
      </c>
      <c r="CR45" s="270">
        <f t="shared" si="118"/>
        <v>3.4552356616018069E-2</v>
      </c>
      <c r="CS45" s="270">
        <f t="shared" si="119"/>
        <v>3.4834557217091305E-2</v>
      </c>
      <c r="CT45" s="265">
        <f t="shared" si="120"/>
        <v>200.9579939668175</v>
      </c>
      <c r="CU45" s="269">
        <f t="shared" si="121"/>
        <v>0.9741720304697683</v>
      </c>
      <c r="CV45" s="267">
        <f t="shared" si="122"/>
        <v>0.81929537467688174</v>
      </c>
      <c r="CW45" s="267">
        <f t="shared" si="123"/>
        <v>0.82598683279534624</v>
      </c>
      <c r="CX45" s="268">
        <f t="shared" si="124"/>
        <v>4765.0571794871794</v>
      </c>
      <c r="CY45" s="264">
        <f t="shared" si="125"/>
        <v>4.0683747055956327E-3</v>
      </c>
      <c r="CZ45" s="270">
        <f t="shared" si="126"/>
        <v>3.4495179830600986E-3</v>
      </c>
      <c r="DA45" s="265">
        <f t="shared" si="127"/>
        <v>19.900015082956259</v>
      </c>
      <c r="DB45" s="269">
        <f t="shared" si="128"/>
        <v>4.6464151317370818E-4</v>
      </c>
      <c r="DC45" s="268">
        <f t="shared" si="129"/>
        <v>2.680482654600302</v>
      </c>
      <c r="DD45" s="264">
        <f t="shared" si="130"/>
        <v>1.2852489100322802E-2</v>
      </c>
      <c r="DE45" s="270">
        <f t="shared" si="131"/>
        <v>1.0897445659975543E-2</v>
      </c>
      <c r="DF45" s="265">
        <f t="shared" si="132"/>
        <v>62.866561085972847</v>
      </c>
      <c r="DG45" s="269">
        <f t="shared" si="133"/>
        <v>3.8120775000295023E-3</v>
      </c>
      <c r="DH45" s="267">
        <f t="shared" si="134"/>
        <v>3.2322071688933437E-3</v>
      </c>
      <c r="DI45" s="272">
        <f t="shared" si="135"/>
        <v>18.64636500754148</v>
      </c>
      <c r="DJ45" s="264">
        <f t="shared" si="136"/>
        <v>3.4077845926042336E-2</v>
      </c>
      <c r="DK45" s="270">
        <f t="shared" si="137"/>
        <v>2.8660052509097717E-2</v>
      </c>
      <c r="DL45" s="270">
        <f t="shared" si="138"/>
        <v>2.8894128700621753E-2</v>
      </c>
      <c r="DM45" s="265">
        <f t="shared" si="139"/>
        <v>166.68809954751131</v>
      </c>
      <c r="DN45" s="269">
        <f t="shared" si="140"/>
        <v>3.4107105935229586E-3</v>
      </c>
      <c r="DO45" s="267">
        <f t="shared" si="141"/>
        <v>2.8918937852968783E-3</v>
      </c>
      <c r="DP45" s="268">
        <f t="shared" si="142"/>
        <v>16.683122171945701</v>
      </c>
      <c r="DQ45" s="264">
        <f t="shared" si="143"/>
        <v>3.6462498130160836E-2</v>
      </c>
      <c r="DR45" s="270">
        <f t="shared" si="144"/>
        <v>3.0916041935441736E-2</v>
      </c>
      <c r="DS45" s="265">
        <f t="shared" si="145"/>
        <v>178.35236802413272</v>
      </c>
      <c r="DT45" s="269">
        <f t="shared" si="146"/>
        <v>4.2339078730206967E-2</v>
      </c>
      <c r="DU45" s="268">
        <f t="shared" si="147"/>
        <v>244.25102564102562</v>
      </c>
      <c r="DV45" s="264">
        <f t="shared" si="2"/>
        <v>2.386716799682618E-3</v>
      </c>
      <c r="DW45" s="265">
        <f t="shared" si="3"/>
        <v>13.768793363499244</v>
      </c>
      <c r="DX45" s="264">
        <f t="shared" si="148"/>
        <v>3.2685857032869236E-5</v>
      </c>
      <c r="DY45" s="270">
        <f t="shared" si="149"/>
        <v>2.7489365991616446E-5</v>
      </c>
      <c r="DZ45" s="270">
        <f t="shared" si="150"/>
        <v>2.7713880796559153E-5</v>
      </c>
      <c r="EA45" s="265">
        <f t="shared" si="151"/>
        <v>0.15987933634992457</v>
      </c>
      <c r="EB45" s="273">
        <f>IFERROR(VLOOKUP(A45,'BARNET SCHS PUPIL PREMIUM Nos'!$E$31:$V$117,17,0),0)</f>
        <v>106</v>
      </c>
      <c r="EC45" s="258">
        <f>IFERROR(VLOOKUP(A45,CFR20212022_BenchMarkDataReport!$B$4:$CL$90,36,0),0)</f>
        <v>0</v>
      </c>
      <c r="ED45" s="258">
        <f>IFERROR(VLOOKUP(A45,CFR20212022_BenchMarkDataReport!$B$4:$CL$90,37,0),0)</f>
        <v>0</v>
      </c>
      <c r="EE45" s="258">
        <f>IFERROR(VLOOKUP(A45,CFR20212022_BenchMarkDataReport!$B$4:$CL$90,38,0),0)</f>
        <v>0</v>
      </c>
      <c r="EF45" s="258">
        <f>IFERROR(VLOOKUP(A45,CFR20212022_BenchMarkDataReport!$B$4:$CL$90,39,0),0)</f>
        <v>141409.71</v>
      </c>
      <c r="EG45" s="227"/>
    </row>
    <row r="46" spans="1:137" s="5" customFormat="1">
      <c r="A46" s="147">
        <v>5948</v>
      </c>
      <c r="B46" s="298">
        <v>10125</v>
      </c>
      <c r="C46" s="147" t="s">
        <v>71</v>
      </c>
      <c r="D46" s="258">
        <f>IFERROR(VLOOKUP(A46,CFR20212022_BenchMarkDataReport!$B$4:$CL$90,19,0),0)</f>
        <v>1016824.76</v>
      </c>
      <c r="E46" s="258">
        <f>IFERROR(VLOOKUP(A46,CFR20212022_BenchMarkDataReport!$B$4:$CL$90,20,0),0)</f>
        <v>0</v>
      </c>
      <c r="F46" s="258">
        <f>IFERROR(VLOOKUP(A46,CFR20212022_BenchMarkDataReport!$B$4:$CL$90,21,0),0)</f>
        <v>17233.43</v>
      </c>
      <c r="G46" s="258">
        <f>IFERROR(VLOOKUP(A46,CFR20212022_BenchMarkDataReport!$B$4:$CL$90,22,0),0)</f>
        <v>0</v>
      </c>
      <c r="H46" s="258">
        <f>IFERROR(VLOOKUP(A46,CFR20212022_BenchMarkDataReport!$B$4:$CL$90,23,0),0)</f>
        <v>8070.03</v>
      </c>
      <c r="I46" s="258">
        <f>IFERROR(VLOOKUP(A46,CFR20212022_BenchMarkDataReport!$B$4:$CL$90,24,0),0)</f>
        <v>58100.3</v>
      </c>
      <c r="J46" s="258">
        <f>IFERROR(VLOOKUP(A46,CFR20212022_BenchMarkDataReport!$B$4:$CL$90,25,0),0)</f>
        <v>0</v>
      </c>
      <c r="K46" s="258">
        <f>IFERROR(VLOOKUP(A46,CFR20212022_BenchMarkDataReport!$B$4:$CL$90,26,0),0)</f>
        <v>1261.5</v>
      </c>
      <c r="L46" s="258">
        <f>IFERROR(VLOOKUP(A46,CFR20212022_BenchMarkDataReport!$B$4:$CL$90,27,0),0)</f>
        <v>93934</v>
      </c>
      <c r="M46" s="258">
        <f>IFERROR(VLOOKUP(A46,CFR20212022_BenchMarkDataReport!$B$4:$CL$90,28,0),0)</f>
        <v>3545.06</v>
      </c>
      <c r="N46" s="258">
        <f>IFERROR(VLOOKUP(A46,CFR20212022_BenchMarkDataReport!$B$4:$CL$90,29,0),0)</f>
        <v>1645.5</v>
      </c>
      <c r="O46" s="258">
        <f>IFERROR(VLOOKUP(A46,CFR20212022_BenchMarkDataReport!$B$4:$CL$90,30,0),0)</f>
        <v>0</v>
      </c>
      <c r="P46" s="258">
        <f>IFERROR(VLOOKUP(A46,CFR20212022_BenchMarkDataReport!$B$4:$CL$90,31,0),0)</f>
        <v>22780.73</v>
      </c>
      <c r="Q46" s="258">
        <f>IFERROR(VLOOKUP(A46,CFR20212022_BenchMarkDataReport!$B$4:$CL$90,32,0),0)</f>
        <v>307812.56</v>
      </c>
      <c r="R46" s="258">
        <f>IFERROR(VLOOKUP(A46,CFR20212022_BenchMarkDataReport!$B$4:$CL$90,33,0),0)</f>
        <v>0</v>
      </c>
      <c r="S46" s="258">
        <f>IFERROR(VLOOKUP(A46,CFR20212022_BenchMarkDataReport!$B$4:$CL$90,34,0),0)</f>
        <v>0</v>
      </c>
      <c r="T46" s="258">
        <f>IFERROR(VLOOKUP(A46,CFR20212022_BenchMarkDataReport!$B$4:$CL$90,35,0),0)</f>
        <v>0</v>
      </c>
      <c r="U46" s="258">
        <f t="shared" si="0"/>
        <v>63416</v>
      </c>
      <c r="V46" s="258">
        <f>IFERROR(VLOOKUP(A46,CFR20212022_BenchMarkDataReport!$B$4:$CL$90,40,0),0)</f>
        <v>748904.87</v>
      </c>
      <c r="W46" s="258">
        <f>IFERROR(VLOOKUP(A46,CFR20212022_BenchMarkDataReport!$B$4:$CL$90,41,0),0)</f>
        <v>0</v>
      </c>
      <c r="X46" s="258">
        <f>IFERROR(VLOOKUP(A46,CFR20212022_BenchMarkDataReport!$B$4:$CL$90,42,0),0)</f>
        <v>257562.38</v>
      </c>
      <c r="Y46" s="258">
        <f>IFERROR(VLOOKUP(A46,CFR20212022_BenchMarkDataReport!$B$4:$CL$90,43,0),0)</f>
        <v>-290</v>
      </c>
      <c r="Z46" s="258">
        <f>IFERROR(VLOOKUP(A46,CFR20212022_BenchMarkDataReport!$B$4:$CL$90,44,0),0)</f>
        <v>73825.119999999995</v>
      </c>
      <c r="AA46" s="258">
        <f>IFERROR(VLOOKUP(A46,CFR20212022_BenchMarkDataReport!$B$4:$CL$90,45,0),0)</f>
        <v>0</v>
      </c>
      <c r="AB46" s="258">
        <f>IFERROR(VLOOKUP(A46,CFR20212022_BenchMarkDataReport!$B$4:$CL$90,46,0),0)</f>
        <v>10915.95</v>
      </c>
      <c r="AC46" s="258">
        <f>IFERROR(VLOOKUP(A46,CFR20212022_BenchMarkDataReport!$B$4:$CL$90,47,0),0)</f>
        <v>35521.46</v>
      </c>
      <c r="AD46" s="258">
        <f>IFERROR(VLOOKUP(A46,CFR20212022_BenchMarkDataReport!$B$4:$CL$90,48,0),0)</f>
        <v>15317.47</v>
      </c>
      <c r="AE46" s="258">
        <f>IFERROR(VLOOKUP(A46,CFR20212022_BenchMarkDataReport!$B$4:$CL$90,49,0),0)</f>
        <v>342.76</v>
      </c>
      <c r="AF46" s="258">
        <f>IFERROR(VLOOKUP(A46,CFR20212022_BenchMarkDataReport!$B$4:$CL$90,50,0),0)</f>
        <v>8885.4</v>
      </c>
      <c r="AG46" s="258">
        <f>IFERROR(VLOOKUP(A46,CFR20212022_BenchMarkDataReport!$B$4:$CL$90,51,0),0)</f>
        <v>16804.5</v>
      </c>
      <c r="AH46" s="258">
        <f>IFERROR(VLOOKUP(A46,CFR20212022_BenchMarkDataReport!$B$4:$CL$90,52,0),0)</f>
        <v>2062.5100000000002</v>
      </c>
      <c r="AI46" s="258">
        <f>IFERROR(VLOOKUP(A46,CFR20212022_BenchMarkDataReport!$B$4:$CL$90,53,0),0)</f>
        <v>53921.74</v>
      </c>
      <c r="AJ46" s="258">
        <f>IFERROR(VLOOKUP(A46,CFR20212022_BenchMarkDataReport!$B$4:$CL$90,54,0),0)</f>
        <v>9757.82</v>
      </c>
      <c r="AK46" s="258">
        <f>IFERROR(VLOOKUP(A46,CFR20212022_BenchMarkDataReport!$B$4:$CL$90,55,0),0)</f>
        <v>18249.009999999998</v>
      </c>
      <c r="AL46" s="258">
        <f>IFERROR(VLOOKUP(A46,CFR20212022_BenchMarkDataReport!$B$4:$CL$90,56,0),0)</f>
        <v>14470.4</v>
      </c>
      <c r="AM46" s="258">
        <f>IFERROR(VLOOKUP(A46,CFR20212022_BenchMarkDataReport!$B$4:$CL$90,57,0),0)</f>
        <v>85137.41</v>
      </c>
      <c r="AN46" s="258">
        <f>IFERROR(VLOOKUP(A46,CFR20212022_BenchMarkDataReport!$B$4:$CL$90,58,0),0)</f>
        <v>58921.79</v>
      </c>
      <c r="AO46" s="258">
        <f>IFERROR(VLOOKUP(A46,CFR20212022_BenchMarkDataReport!$B$4:$CL$90,59,0),0)</f>
        <v>11847.74</v>
      </c>
      <c r="AP46" s="258">
        <f>IFERROR(VLOOKUP(A46,CFR20212022_BenchMarkDataReport!$B$4:$CL$90,60,0),0)</f>
        <v>0</v>
      </c>
      <c r="AQ46" s="258">
        <f>IFERROR(VLOOKUP(A46,CFR20212022_BenchMarkDataReport!$B$4:$CL$90,61,0),0)</f>
        <v>17674.759999999998</v>
      </c>
      <c r="AR46" s="258">
        <f>IFERROR(VLOOKUP(A46,CFR20212022_BenchMarkDataReport!$B$4:$CL$90,62,0),0)</f>
        <v>6166.83</v>
      </c>
      <c r="AS46" s="258">
        <f>IFERROR(VLOOKUP(A46,CFR20212022_BenchMarkDataReport!$B$4:$CL$90,63,0),0)</f>
        <v>13495.02</v>
      </c>
      <c r="AT46" s="258">
        <f>IFERROR(VLOOKUP(A46,CFR20212022_BenchMarkDataReport!$B$4:$CL$90,64,0),0)</f>
        <v>54297.279999999999</v>
      </c>
      <c r="AU46" s="258">
        <f>IFERROR(VLOOKUP(A46,CFR20212022_BenchMarkDataReport!$B$4:$CL$90,65,0),0)</f>
        <v>0</v>
      </c>
      <c r="AV46" s="258">
        <f>IFERROR(VLOOKUP(A46,CFR20212022_BenchMarkDataReport!$B$4:$CL$90,66,0),0)</f>
        <v>7016.6</v>
      </c>
      <c r="AW46" s="258">
        <f>IFERROR(VLOOKUP(A46,CFR20212022_BenchMarkDataReport!$B$4:$CL$90,67,0),0)</f>
        <v>42732.08</v>
      </c>
      <c r="AX46" s="258">
        <f>IFERROR(VLOOKUP(A46,CFR20212022_BenchMarkDataReport!$B$4:$CL$90,68,0),0)</f>
        <v>0</v>
      </c>
      <c r="AY46" s="258">
        <f>IFERROR(VLOOKUP(A46,CFR20212022_BenchMarkDataReport!$B$4:$CL$90,69,0),0)</f>
        <v>0</v>
      </c>
      <c r="AZ46" s="258">
        <f>IFERROR(VLOOKUP(A46,CFR20212022_BenchMarkDataReport!$B$4:$CL$90,70,0),0)</f>
        <v>1050</v>
      </c>
      <c r="BA46" s="258">
        <f>IFERROR(VLOOKUP(A46,CFR20212022_BenchMarkDataReport!$B$4:$CL$90,71,0),0)</f>
        <v>0</v>
      </c>
      <c r="BB46" s="258">
        <f>IFERROR(VLOOKUP(A46,CFR20212022_BenchMarkDataReport!$B$4:$CL$90,72,0),0)</f>
        <v>0</v>
      </c>
      <c r="BC46" s="259">
        <f t="shared" si="84"/>
        <v>1594623.87</v>
      </c>
      <c r="BD46" s="260">
        <f t="shared" si="81"/>
        <v>1564590.9000000001</v>
      </c>
      <c r="BE46" s="300">
        <f t="shared" si="82"/>
        <v>30032.969999999972</v>
      </c>
      <c r="BF46" s="258">
        <f>IFERROR(VLOOKUP(A46,CFR20212022_BenchMarkDataReport!$B$4:$CL$90,16,0),0)</f>
        <v>-122668</v>
      </c>
      <c r="BG46" s="300">
        <f t="shared" si="83"/>
        <v>-92635.030000000028</v>
      </c>
      <c r="BH46" s="261">
        <f>IFERROR(VLOOKUP(A46,'Pupil Nos BenchmarkData 21-22'!$A$6:$E$94,5,0),0)</f>
        <v>224</v>
      </c>
      <c r="BI46" s="260">
        <f t="shared" si="1"/>
        <v>1034058.1900000001</v>
      </c>
      <c r="BJ46" s="227" t="s">
        <v>183</v>
      </c>
      <c r="BK46" s="262">
        <f t="shared" si="85"/>
        <v>0.63765805788420815</v>
      </c>
      <c r="BL46" s="263">
        <f t="shared" si="86"/>
        <v>4539.3962499999998</v>
      </c>
      <c r="BM46" s="264">
        <f t="shared" si="87"/>
        <v>0</v>
      </c>
      <c r="BN46" s="265">
        <f t="shared" si="88"/>
        <v>0</v>
      </c>
      <c r="BO46" s="262">
        <f t="shared" si="89"/>
        <v>1.0807206843078298E-2</v>
      </c>
      <c r="BP46" s="263">
        <f t="shared" si="90"/>
        <v>76.934955357142854</v>
      </c>
      <c r="BQ46" s="264">
        <f t="shared" si="91"/>
        <v>0</v>
      </c>
      <c r="BR46" s="265">
        <f t="shared" si="92"/>
        <v>0</v>
      </c>
      <c r="BS46" s="262">
        <f t="shared" si="93"/>
        <v>5.0607733596763479E-3</v>
      </c>
      <c r="BT46" s="263">
        <f t="shared" si="94"/>
        <v>36.026919642857145</v>
      </c>
      <c r="BU46" s="264">
        <f t="shared" si="95"/>
        <v>3.6435112438145054E-2</v>
      </c>
      <c r="BV46" s="265">
        <f t="shared" si="96"/>
        <v>259.37633928571432</v>
      </c>
      <c r="BW46" s="262">
        <f t="shared" si="97"/>
        <v>0</v>
      </c>
      <c r="BX46" s="263">
        <f t="shared" si="98"/>
        <v>0</v>
      </c>
      <c r="BY46" s="264">
        <f t="shared" si="99"/>
        <v>5.9697776880763734E-2</v>
      </c>
      <c r="BZ46" s="266">
        <f t="shared" si="100"/>
        <v>424.97991071428572</v>
      </c>
      <c r="CA46" s="267">
        <f t="shared" si="101"/>
        <v>1.428595823038821E-2</v>
      </c>
      <c r="CB46" s="268">
        <f t="shared" si="102"/>
        <v>101.6996875</v>
      </c>
      <c r="CC46" s="264">
        <f t="shared" si="103"/>
        <v>0.19303145136037628</v>
      </c>
      <c r="CD46" s="265">
        <f t="shared" si="104"/>
        <v>1374.1632142857143</v>
      </c>
      <c r="CE46" s="269">
        <f t="shared" si="105"/>
        <v>0.72423861368962217</v>
      </c>
      <c r="CF46" s="267">
        <f t="shared" si="106"/>
        <v>0.46964358435196379</v>
      </c>
      <c r="CG46" s="267">
        <f t="shared" si="107"/>
        <v>0.4786585873661926</v>
      </c>
      <c r="CH46" s="268">
        <f t="shared" si="108"/>
        <v>3343.3253125000001</v>
      </c>
      <c r="CI46" s="264">
        <f t="shared" si="109"/>
        <v>0.24907919350264029</v>
      </c>
      <c r="CJ46" s="270">
        <f t="shared" si="110"/>
        <v>0.16151920515274865</v>
      </c>
      <c r="CK46" s="270">
        <f t="shared" si="111"/>
        <v>0.16461963315777944</v>
      </c>
      <c r="CL46" s="271">
        <f t="shared" si="112"/>
        <v>1149.8320535714286</v>
      </c>
      <c r="CM46" s="269">
        <f t="shared" si="113"/>
        <v>-2.8044843395128466E-4</v>
      </c>
      <c r="CN46" s="267">
        <f t="shared" si="114"/>
        <v>-1.8186106796457273E-4</v>
      </c>
      <c r="CO46" s="267">
        <f t="shared" si="115"/>
        <v>-1.8535196644694788E-4</v>
      </c>
      <c r="CP46" s="268">
        <f t="shared" si="116"/>
        <v>-1.2946428571428572</v>
      </c>
      <c r="CQ46" s="264">
        <f t="shared" si="117"/>
        <v>7.1393583759536777E-2</v>
      </c>
      <c r="CR46" s="270">
        <f t="shared" si="118"/>
        <v>4.6296259192457709E-2</v>
      </c>
      <c r="CS46" s="270">
        <f t="shared" si="119"/>
        <v>4.7184935052351377E-2</v>
      </c>
      <c r="CT46" s="265">
        <f t="shared" si="120"/>
        <v>329.57642857142855</v>
      </c>
      <c r="CU46" s="269">
        <f t="shared" si="121"/>
        <v>1.0549873600440223</v>
      </c>
      <c r="CV46" s="267">
        <f t="shared" si="122"/>
        <v>0.68412265771488801</v>
      </c>
      <c r="CW46" s="267">
        <f t="shared" si="123"/>
        <v>0.69725467532758878</v>
      </c>
      <c r="CX46" s="268">
        <f t="shared" si="124"/>
        <v>4870.1710714285718</v>
      </c>
      <c r="CY46" s="264">
        <f t="shared" si="125"/>
        <v>1.6251019683911599E-2</v>
      </c>
      <c r="CZ46" s="270">
        <f t="shared" si="126"/>
        <v>1.0740507310888743E-2</v>
      </c>
      <c r="DA46" s="265">
        <f t="shared" si="127"/>
        <v>75.020089285714292</v>
      </c>
      <c r="DB46" s="269">
        <f t="shared" si="128"/>
        <v>6.2366590525357131E-3</v>
      </c>
      <c r="DC46" s="268">
        <f t="shared" si="129"/>
        <v>43.56169642857143</v>
      </c>
      <c r="DD46" s="264">
        <f t="shared" si="130"/>
        <v>1.7647952674694253E-2</v>
      </c>
      <c r="DE46" s="270">
        <f t="shared" si="131"/>
        <v>1.1663758238655227E-2</v>
      </c>
      <c r="DF46" s="265">
        <f t="shared" si="132"/>
        <v>81.468794642857134</v>
      </c>
      <c r="DG46" s="269">
        <f t="shared" si="133"/>
        <v>8.233328725920154E-2</v>
      </c>
      <c r="DH46" s="267">
        <f t="shared" si="134"/>
        <v>5.4415125385172569E-2</v>
      </c>
      <c r="DI46" s="272">
        <f t="shared" si="135"/>
        <v>380.07772321428575</v>
      </c>
      <c r="DJ46" s="264">
        <f t="shared" si="136"/>
        <v>5.6981116314160231E-2</v>
      </c>
      <c r="DK46" s="270">
        <f t="shared" si="137"/>
        <v>3.695027467511821E-2</v>
      </c>
      <c r="DL46" s="270">
        <f t="shared" si="138"/>
        <v>3.7659550493358999E-2</v>
      </c>
      <c r="DM46" s="265">
        <f t="shared" si="139"/>
        <v>263.04370535714287</v>
      </c>
      <c r="DN46" s="269">
        <f t="shared" si="140"/>
        <v>1.7092616422292442E-2</v>
      </c>
      <c r="DO46" s="267">
        <f t="shared" si="141"/>
        <v>1.1296729387854676E-2</v>
      </c>
      <c r="DP46" s="268">
        <f t="shared" si="142"/>
        <v>78.905178571428564</v>
      </c>
      <c r="DQ46" s="264">
        <f t="shared" si="143"/>
        <v>6.7854982126296006E-3</v>
      </c>
      <c r="DR46" s="270">
        <f t="shared" si="144"/>
        <v>4.4846227854194983E-3</v>
      </c>
      <c r="DS46" s="265">
        <f t="shared" si="145"/>
        <v>31.324107142857144</v>
      </c>
      <c r="DT46" s="269">
        <f t="shared" si="146"/>
        <v>3.4703819381794947E-2</v>
      </c>
      <c r="DU46" s="268">
        <f t="shared" si="147"/>
        <v>242.39857142857142</v>
      </c>
      <c r="DV46" s="264">
        <f t="shared" si="2"/>
        <v>3.4463794976693267E-2</v>
      </c>
      <c r="DW46" s="265">
        <f t="shared" si="3"/>
        <v>240.72205357142857</v>
      </c>
      <c r="DX46" s="264">
        <f t="shared" si="148"/>
        <v>5.8023813920955453E-6</v>
      </c>
      <c r="DY46" s="270">
        <f t="shared" si="149"/>
        <v>3.7626427854739186E-6</v>
      </c>
      <c r="DZ46" s="270">
        <f t="shared" si="150"/>
        <v>3.8348682713161628E-6</v>
      </c>
      <c r="EA46" s="265">
        <f t="shared" si="151"/>
        <v>2.6785714285714284E-2</v>
      </c>
      <c r="EB46" s="273">
        <f>IFERROR(VLOOKUP(A46,'BARNET SCHS PUPIL PREMIUM Nos'!$E$31:$V$117,17,0),0)</f>
        <v>6</v>
      </c>
      <c r="EC46" s="258">
        <f>IFERROR(VLOOKUP(A46,CFR20212022_BenchMarkDataReport!$B$4:$CL$90,36,0),0)</f>
        <v>0</v>
      </c>
      <c r="ED46" s="258">
        <f>IFERROR(VLOOKUP(A46,CFR20212022_BenchMarkDataReport!$B$4:$CL$90,37,0),0)</f>
        <v>0</v>
      </c>
      <c r="EE46" s="258">
        <f>IFERROR(VLOOKUP(A46,CFR20212022_BenchMarkDataReport!$B$4:$CL$90,38,0),0)</f>
        <v>0</v>
      </c>
      <c r="EF46" s="258">
        <f>IFERROR(VLOOKUP(A46,CFR20212022_BenchMarkDataReport!$B$4:$CL$90,39,0),0)</f>
        <v>63416</v>
      </c>
      <c r="EG46" s="227"/>
    </row>
    <row r="47" spans="1:137" s="5" customFormat="1">
      <c r="A47" s="147">
        <v>5949</v>
      </c>
      <c r="B47" s="298">
        <v>10126</v>
      </c>
      <c r="C47" s="147" t="s">
        <v>72</v>
      </c>
      <c r="D47" s="258">
        <f>IFERROR(VLOOKUP(A47,CFR20212022_BenchMarkDataReport!$B$4:$CL$90,19,0),0)</f>
        <v>1829154.83</v>
      </c>
      <c r="E47" s="258">
        <f>IFERROR(VLOOKUP(A47,CFR20212022_BenchMarkDataReport!$B$4:$CL$90,20,0),0)</f>
        <v>0</v>
      </c>
      <c r="F47" s="258">
        <f>IFERROR(VLOOKUP(A47,CFR20212022_BenchMarkDataReport!$B$4:$CL$90,21,0),0)</f>
        <v>33352.1</v>
      </c>
      <c r="G47" s="258">
        <f>IFERROR(VLOOKUP(A47,CFR20212022_BenchMarkDataReport!$B$4:$CL$90,22,0),0)</f>
        <v>0</v>
      </c>
      <c r="H47" s="258">
        <f>IFERROR(VLOOKUP(A47,CFR20212022_BenchMarkDataReport!$B$4:$CL$90,23,0),0)</f>
        <v>17485.05</v>
      </c>
      <c r="I47" s="258">
        <f>IFERROR(VLOOKUP(A47,CFR20212022_BenchMarkDataReport!$B$4:$CL$90,24,0),0)</f>
        <v>0</v>
      </c>
      <c r="J47" s="258">
        <f>IFERROR(VLOOKUP(A47,CFR20212022_BenchMarkDataReport!$B$4:$CL$90,25,0),0)</f>
        <v>3627.41</v>
      </c>
      <c r="K47" s="258">
        <f>IFERROR(VLOOKUP(A47,CFR20212022_BenchMarkDataReport!$B$4:$CL$90,26,0),0)</f>
        <v>0</v>
      </c>
      <c r="L47" s="258">
        <f>IFERROR(VLOOKUP(A47,CFR20212022_BenchMarkDataReport!$B$4:$CL$90,27,0),0)</f>
        <v>3652.17</v>
      </c>
      <c r="M47" s="258">
        <f>IFERROR(VLOOKUP(A47,CFR20212022_BenchMarkDataReport!$B$4:$CL$90,28,0),0)</f>
        <v>24595.39</v>
      </c>
      <c r="N47" s="258">
        <f>IFERROR(VLOOKUP(A47,CFR20212022_BenchMarkDataReport!$B$4:$CL$90,29,0),0)</f>
        <v>0</v>
      </c>
      <c r="O47" s="258">
        <f>IFERROR(VLOOKUP(A47,CFR20212022_BenchMarkDataReport!$B$4:$CL$90,30,0),0)</f>
        <v>0</v>
      </c>
      <c r="P47" s="258">
        <f>IFERROR(VLOOKUP(A47,CFR20212022_BenchMarkDataReport!$B$4:$CL$90,31,0),0)</f>
        <v>9494.66</v>
      </c>
      <c r="Q47" s="258">
        <f>IFERROR(VLOOKUP(A47,CFR20212022_BenchMarkDataReport!$B$4:$CL$90,32,0),0)</f>
        <v>1275434.78</v>
      </c>
      <c r="R47" s="258">
        <f>IFERROR(VLOOKUP(A47,CFR20212022_BenchMarkDataReport!$B$4:$CL$90,33,0),0)</f>
        <v>0</v>
      </c>
      <c r="S47" s="258">
        <f>IFERROR(VLOOKUP(A47,CFR20212022_BenchMarkDataReport!$B$4:$CL$90,34,0),0)</f>
        <v>0</v>
      </c>
      <c r="T47" s="258">
        <f>IFERROR(VLOOKUP(A47,CFR20212022_BenchMarkDataReport!$B$4:$CL$90,35,0),0)</f>
        <v>0</v>
      </c>
      <c r="U47" s="258">
        <f t="shared" si="0"/>
        <v>107777.75</v>
      </c>
      <c r="V47" s="258">
        <f>IFERROR(VLOOKUP(A47,CFR20212022_BenchMarkDataReport!$B$4:$CL$90,40,0),0)</f>
        <v>1138461.1399999999</v>
      </c>
      <c r="W47" s="258">
        <f>IFERROR(VLOOKUP(A47,CFR20212022_BenchMarkDataReport!$B$4:$CL$90,41,0),0)</f>
        <v>0</v>
      </c>
      <c r="X47" s="258">
        <f>IFERROR(VLOOKUP(A47,CFR20212022_BenchMarkDataReport!$B$4:$CL$90,42,0),0)</f>
        <v>1250857.3600000001</v>
      </c>
      <c r="Y47" s="258">
        <f>IFERROR(VLOOKUP(A47,CFR20212022_BenchMarkDataReport!$B$4:$CL$90,43,0),0)</f>
        <v>53621.45</v>
      </c>
      <c r="Z47" s="258">
        <f>IFERROR(VLOOKUP(A47,CFR20212022_BenchMarkDataReport!$B$4:$CL$90,44,0),0)</f>
        <v>108277</v>
      </c>
      <c r="AA47" s="258">
        <f>IFERROR(VLOOKUP(A47,CFR20212022_BenchMarkDataReport!$B$4:$CL$90,45,0),0)</f>
        <v>0</v>
      </c>
      <c r="AB47" s="258">
        <f>IFERROR(VLOOKUP(A47,CFR20212022_BenchMarkDataReport!$B$4:$CL$90,46,0),0)</f>
        <v>32576.67</v>
      </c>
      <c r="AC47" s="258">
        <f>IFERROR(VLOOKUP(A47,CFR20212022_BenchMarkDataReport!$B$4:$CL$90,47,0),0)</f>
        <v>8063.83</v>
      </c>
      <c r="AD47" s="258">
        <f>IFERROR(VLOOKUP(A47,CFR20212022_BenchMarkDataReport!$B$4:$CL$90,48,0),0)</f>
        <v>21027.56</v>
      </c>
      <c r="AE47" s="258">
        <f>IFERROR(VLOOKUP(A47,CFR20212022_BenchMarkDataReport!$B$4:$CL$90,49,0),0)</f>
        <v>621.55999999999995</v>
      </c>
      <c r="AF47" s="258">
        <f>IFERROR(VLOOKUP(A47,CFR20212022_BenchMarkDataReport!$B$4:$CL$90,50,0),0)</f>
        <v>0</v>
      </c>
      <c r="AG47" s="258">
        <f>IFERROR(VLOOKUP(A47,CFR20212022_BenchMarkDataReport!$B$4:$CL$90,51,0),0)</f>
        <v>26169.599999999999</v>
      </c>
      <c r="AH47" s="258">
        <f>IFERROR(VLOOKUP(A47,CFR20212022_BenchMarkDataReport!$B$4:$CL$90,52,0),0)</f>
        <v>0</v>
      </c>
      <c r="AI47" s="258">
        <f>IFERROR(VLOOKUP(A47,CFR20212022_BenchMarkDataReport!$B$4:$CL$90,53,0),0)</f>
        <v>70084.509999999995</v>
      </c>
      <c r="AJ47" s="258">
        <f>IFERROR(VLOOKUP(A47,CFR20212022_BenchMarkDataReport!$B$4:$CL$90,54,0),0)</f>
        <v>2815.18</v>
      </c>
      <c r="AK47" s="258">
        <f>IFERROR(VLOOKUP(A47,CFR20212022_BenchMarkDataReport!$B$4:$CL$90,55,0),0)</f>
        <v>33744.22</v>
      </c>
      <c r="AL47" s="258">
        <f>IFERROR(VLOOKUP(A47,CFR20212022_BenchMarkDataReport!$B$4:$CL$90,56,0),0)</f>
        <v>32718</v>
      </c>
      <c r="AM47" s="258">
        <f>IFERROR(VLOOKUP(A47,CFR20212022_BenchMarkDataReport!$B$4:$CL$90,57,0),0)</f>
        <v>16715.36</v>
      </c>
      <c r="AN47" s="258">
        <f>IFERROR(VLOOKUP(A47,CFR20212022_BenchMarkDataReport!$B$4:$CL$90,58,0),0)</f>
        <v>98007.21</v>
      </c>
      <c r="AO47" s="258">
        <f>IFERROR(VLOOKUP(A47,CFR20212022_BenchMarkDataReport!$B$4:$CL$90,59,0),0)</f>
        <v>13044.58</v>
      </c>
      <c r="AP47" s="258">
        <f>IFERROR(VLOOKUP(A47,CFR20212022_BenchMarkDataReport!$B$4:$CL$90,60,0),0)</f>
        <v>0</v>
      </c>
      <c r="AQ47" s="258">
        <f>IFERROR(VLOOKUP(A47,CFR20212022_BenchMarkDataReport!$B$4:$CL$90,61,0),0)</f>
        <v>11231.75</v>
      </c>
      <c r="AR47" s="258">
        <f>IFERROR(VLOOKUP(A47,CFR20212022_BenchMarkDataReport!$B$4:$CL$90,62,0),0)</f>
        <v>25429.93</v>
      </c>
      <c r="AS47" s="258">
        <f>IFERROR(VLOOKUP(A47,CFR20212022_BenchMarkDataReport!$B$4:$CL$90,63,0),0)</f>
        <v>828.74</v>
      </c>
      <c r="AT47" s="258">
        <f>IFERROR(VLOOKUP(A47,CFR20212022_BenchMarkDataReport!$B$4:$CL$90,64,0),0)</f>
        <v>95393.1</v>
      </c>
      <c r="AU47" s="258">
        <f>IFERROR(VLOOKUP(A47,CFR20212022_BenchMarkDataReport!$B$4:$CL$90,65,0),0)</f>
        <v>97029.96</v>
      </c>
      <c r="AV47" s="258">
        <f>IFERROR(VLOOKUP(A47,CFR20212022_BenchMarkDataReport!$B$4:$CL$90,66,0),0)</f>
        <v>47282.17</v>
      </c>
      <c r="AW47" s="258">
        <f>IFERROR(VLOOKUP(A47,CFR20212022_BenchMarkDataReport!$B$4:$CL$90,67,0),0)</f>
        <v>131715.22</v>
      </c>
      <c r="AX47" s="258">
        <f>IFERROR(VLOOKUP(A47,CFR20212022_BenchMarkDataReport!$B$4:$CL$90,68,0),0)</f>
        <v>0</v>
      </c>
      <c r="AY47" s="258">
        <f>IFERROR(VLOOKUP(A47,CFR20212022_BenchMarkDataReport!$B$4:$CL$90,69,0),0)</f>
        <v>0</v>
      </c>
      <c r="AZ47" s="258">
        <f>IFERROR(VLOOKUP(A47,CFR20212022_BenchMarkDataReport!$B$4:$CL$90,70,0),0)</f>
        <v>0</v>
      </c>
      <c r="BA47" s="258">
        <f>IFERROR(VLOOKUP(A47,CFR20212022_BenchMarkDataReport!$B$4:$CL$90,71,0),0)</f>
        <v>0</v>
      </c>
      <c r="BB47" s="258">
        <f>IFERROR(VLOOKUP(A47,CFR20212022_BenchMarkDataReport!$B$4:$CL$90,72,0),0)</f>
        <v>0</v>
      </c>
      <c r="BC47" s="259">
        <f t="shared" si="84"/>
        <v>3304574.1399999997</v>
      </c>
      <c r="BD47" s="260">
        <f t="shared" si="81"/>
        <v>3315716.100000001</v>
      </c>
      <c r="BE47" s="300">
        <f t="shared" si="82"/>
        <v>-11141.96000000136</v>
      </c>
      <c r="BF47" s="258">
        <f>IFERROR(VLOOKUP(A47,CFR20212022_BenchMarkDataReport!$B$4:$CL$90,16,0),0)</f>
        <v>8974.5400000000009</v>
      </c>
      <c r="BG47" s="300">
        <f t="shared" si="83"/>
        <v>-2167.4200000013589</v>
      </c>
      <c r="BH47" s="261">
        <f>IFERROR(VLOOKUP(A47,'Pupil Nos BenchmarkData 21-22'!$A$6:$E$94,5,0),0)</f>
        <v>406</v>
      </c>
      <c r="BI47" s="260">
        <f t="shared" si="1"/>
        <v>1862506.9300000002</v>
      </c>
      <c r="BJ47" s="227" t="s">
        <v>183</v>
      </c>
      <c r="BK47" s="262">
        <f t="shared" si="85"/>
        <v>0.55352210375888256</v>
      </c>
      <c r="BL47" s="263">
        <f t="shared" si="86"/>
        <v>4505.3074630541878</v>
      </c>
      <c r="BM47" s="264">
        <f t="shared" si="87"/>
        <v>0</v>
      </c>
      <c r="BN47" s="265">
        <f t="shared" si="88"/>
        <v>0</v>
      </c>
      <c r="BO47" s="262">
        <f t="shared" si="89"/>
        <v>1.009270743733412E-2</v>
      </c>
      <c r="BP47" s="263">
        <f t="shared" si="90"/>
        <v>82.148029556650243</v>
      </c>
      <c r="BQ47" s="264">
        <f t="shared" si="91"/>
        <v>0</v>
      </c>
      <c r="BR47" s="265">
        <f t="shared" si="92"/>
        <v>0</v>
      </c>
      <c r="BS47" s="262">
        <f t="shared" si="93"/>
        <v>5.2911658989136801E-3</v>
      </c>
      <c r="BT47" s="263">
        <f t="shared" si="94"/>
        <v>43.066625615763542</v>
      </c>
      <c r="BU47" s="264">
        <f t="shared" si="95"/>
        <v>0</v>
      </c>
      <c r="BV47" s="265">
        <f t="shared" si="96"/>
        <v>0</v>
      </c>
      <c r="BW47" s="262">
        <f t="shared" si="97"/>
        <v>1.0976936350412766E-3</v>
      </c>
      <c r="BX47" s="263">
        <f t="shared" si="98"/>
        <v>8.9345073891625617</v>
      </c>
      <c r="BY47" s="264">
        <f t="shared" si="99"/>
        <v>1.1051862797667479E-3</v>
      </c>
      <c r="BZ47" s="266">
        <f t="shared" si="100"/>
        <v>8.995492610837438</v>
      </c>
      <c r="CA47" s="267">
        <f t="shared" si="101"/>
        <v>2.8731871635356925E-3</v>
      </c>
      <c r="CB47" s="268">
        <f t="shared" si="102"/>
        <v>23.385862068965515</v>
      </c>
      <c r="CC47" s="264">
        <f t="shared" si="103"/>
        <v>0.38596040698908335</v>
      </c>
      <c r="CD47" s="265">
        <f t="shared" si="104"/>
        <v>3141.464975369458</v>
      </c>
      <c r="CE47" s="269">
        <f t="shared" si="105"/>
        <v>0.66334845798399245</v>
      </c>
      <c r="CF47" s="267">
        <f t="shared" si="106"/>
        <v>0.37387301590394945</v>
      </c>
      <c r="CG47" s="267">
        <f t="shared" si="107"/>
        <v>0.37261667245877883</v>
      </c>
      <c r="CH47" s="268">
        <f t="shared" si="108"/>
        <v>3043.0815270935959</v>
      </c>
      <c r="CI47" s="264">
        <f t="shared" si="109"/>
        <v>0.67159876822579123</v>
      </c>
      <c r="CJ47" s="270">
        <f t="shared" si="110"/>
        <v>0.37852301295319107</v>
      </c>
      <c r="CK47" s="270">
        <f t="shared" si="111"/>
        <v>0.37725104389968722</v>
      </c>
      <c r="CL47" s="271">
        <f t="shared" si="112"/>
        <v>3080.9294581280792</v>
      </c>
      <c r="CM47" s="269">
        <f t="shared" si="113"/>
        <v>2.8789933146718544E-2</v>
      </c>
      <c r="CN47" s="267">
        <f t="shared" si="114"/>
        <v>1.6226432734839473E-2</v>
      </c>
      <c r="CO47" s="267">
        <f t="shared" si="115"/>
        <v>1.6171906273881525E-2</v>
      </c>
      <c r="CP47" s="268">
        <f t="shared" si="116"/>
        <v>132.0725369458128</v>
      </c>
      <c r="CQ47" s="264">
        <f t="shared" si="117"/>
        <v>5.8135085704083794E-2</v>
      </c>
      <c r="CR47" s="270">
        <f t="shared" si="118"/>
        <v>3.2765795352983067E-2</v>
      </c>
      <c r="CS47" s="270">
        <f t="shared" si="119"/>
        <v>3.2655690877756383E-2</v>
      </c>
      <c r="CT47" s="265">
        <f t="shared" si="120"/>
        <v>266.692118226601</v>
      </c>
      <c r="CU47" s="269">
        <f t="shared" si="121"/>
        <v>1.3872665805329378</v>
      </c>
      <c r="CV47" s="267">
        <f t="shared" si="122"/>
        <v>0.78188399186589297</v>
      </c>
      <c r="CW47" s="267">
        <f t="shared" si="123"/>
        <v>0.77925658954938859</v>
      </c>
      <c r="CX47" s="268">
        <f t="shared" si="124"/>
        <v>6364.0236945812812</v>
      </c>
      <c r="CY47" s="264">
        <f t="shared" si="125"/>
        <v>1.4050739666241133E-2</v>
      </c>
      <c r="CZ47" s="270">
        <f t="shared" si="126"/>
        <v>7.8925936994424795E-3</v>
      </c>
      <c r="DA47" s="265">
        <f t="shared" si="127"/>
        <v>64.457142857142856</v>
      </c>
      <c r="DB47" s="269">
        <f t="shared" si="128"/>
        <v>8.490413277542064E-4</v>
      </c>
      <c r="DC47" s="268">
        <f t="shared" si="129"/>
        <v>6.9339408866995074</v>
      </c>
      <c r="DD47" s="264">
        <f t="shared" si="130"/>
        <v>1.8117634601230719E-2</v>
      </c>
      <c r="DE47" s="270">
        <f t="shared" si="131"/>
        <v>1.017705345762262E-2</v>
      </c>
      <c r="DF47" s="265">
        <f t="shared" si="132"/>
        <v>83.113842364532019</v>
      </c>
      <c r="DG47" s="269">
        <f t="shared" si="133"/>
        <v>8.9746565399356649E-3</v>
      </c>
      <c r="DH47" s="267">
        <f t="shared" si="134"/>
        <v>5.0412518731624808E-3</v>
      </c>
      <c r="DI47" s="272">
        <f t="shared" si="135"/>
        <v>41.170837438423646</v>
      </c>
      <c r="DJ47" s="264">
        <f t="shared" si="136"/>
        <v>5.2621125012404651E-2</v>
      </c>
      <c r="DK47" s="270">
        <f t="shared" si="137"/>
        <v>2.9658045438798967E-2</v>
      </c>
      <c r="DL47" s="270">
        <f t="shared" si="138"/>
        <v>2.9558384084813528E-2</v>
      </c>
      <c r="DM47" s="265">
        <f t="shared" si="139"/>
        <v>241.39706896551726</v>
      </c>
      <c r="DN47" s="269">
        <f t="shared" si="140"/>
        <v>6.0304473605368005E-3</v>
      </c>
      <c r="DO47" s="267">
        <f t="shared" si="141"/>
        <v>3.3874281335485859E-3</v>
      </c>
      <c r="DP47" s="268">
        <f t="shared" si="142"/>
        <v>27.664408866995075</v>
      </c>
      <c r="DQ47" s="264">
        <f t="shared" si="143"/>
        <v>2.5386305542498031E-2</v>
      </c>
      <c r="DR47" s="270">
        <f t="shared" si="144"/>
        <v>1.4260017617310475E-2</v>
      </c>
      <c r="DS47" s="265">
        <f t="shared" si="145"/>
        <v>116.45854679802956</v>
      </c>
      <c r="DT47" s="269">
        <f t="shared" si="146"/>
        <v>2.8769984257699256E-2</v>
      </c>
      <c r="DU47" s="268">
        <f t="shared" si="147"/>
        <v>234.95837438423646</v>
      </c>
      <c r="DV47" s="264">
        <f t="shared" si="2"/>
        <v>2.1137065987042732E-2</v>
      </c>
      <c r="DW47" s="265">
        <f t="shared" si="3"/>
        <v>172.62194581280787</v>
      </c>
      <c r="DX47" s="264">
        <f t="shared" si="148"/>
        <v>6.979839801186672E-6</v>
      </c>
      <c r="DY47" s="270">
        <f t="shared" si="149"/>
        <v>3.9339410917256656E-6</v>
      </c>
      <c r="DZ47" s="270">
        <f t="shared" si="150"/>
        <v>3.9207216806046802E-6</v>
      </c>
      <c r="EA47" s="265">
        <f t="shared" si="151"/>
        <v>3.2019704433497539E-2</v>
      </c>
      <c r="EB47" s="273">
        <f>IFERROR(VLOOKUP(A47,'BARNET SCHS PUPIL PREMIUM Nos'!$E$31:$V$117,17,0),0)</f>
        <v>13</v>
      </c>
      <c r="EC47" s="258">
        <f>IFERROR(VLOOKUP(A47,CFR20212022_BenchMarkDataReport!$B$4:$CL$90,36,0),0)</f>
        <v>3168.72</v>
      </c>
      <c r="ED47" s="258">
        <f>IFERROR(VLOOKUP(A47,CFR20212022_BenchMarkDataReport!$B$4:$CL$90,37,0),0)</f>
        <v>0</v>
      </c>
      <c r="EE47" s="258">
        <f>IFERROR(VLOOKUP(A47,CFR20212022_BenchMarkDataReport!$B$4:$CL$90,38,0),0)</f>
        <v>18413.2</v>
      </c>
      <c r="EF47" s="258">
        <f>IFERROR(VLOOKUP(A47,CFR20212022_BenchMarkDataReport!$B$4:$CL$90,39,0),0)</f>
        <v>86195.83</v>
      </c>
      <c r="EG47" s="227"/>
    </row>
    <row r="48" spans="1:137" s="5" customFormat="1">
      <c r="A48" s="147">
        <v>3513</v>
      </c>
      <c r="B48" s="298">
        <v>10114</v>
      </c>
      <c r="C48" s="147" t="s">
        <v>73</v>
      </c>
      <c r="D48" s="258">
        <f>IFERROR(VLOOKUP(A48,CFR20212022_BenchMarkDataReport!$B$4:$CL$90,19,0),0)</f>
        <v>1763557.4</v>
      </c>
      <c r="E48" s="258">
        <f>IFERROR(VLOOKUP(A48,CFR20212022_BenchMarkDataReport!$B$4:$CL$90,20,0),0)</f>
        <v>0</v>
      </c>
      <c r="F48" s="258">
        <f>IFERROR(VLOOKUP(A48,CFR20212022_BenchMarkDataReport!$B$4:$CL$90,21,0),0)</f>
        <v>69114.539999999994</v>
      </c>
      <c r="G48" s="258">
        <f>IFERROR(VLOOKUP(A48,CFR20212022_BenchMarkDataReport!$B$4:$CL$90,22,0),0)</f>
        <v>0</v>
      </c>
      <c r="H48" s="258">
        <f>IFERROR(VLOOKUP(A48,CFR20212022_BenchMarkDataReport!$B$4:$CL$90,23,0),0)</f>
        <v>20175</v>
      </c>
      <c r="I48" s="258">
        <f>IFERROR(VLOOKUP(A48,CFR20212022_BenchMarkDataReport!$B$4:$CL$90,24,0),0)</f>
        <v>61702.400000000001</v>
      </c>
      <c r="J48" s="258">
        <f>IFERROR(VLOOKUP(A48,CFR20212022_BenchMarkDataReport!$B$4:$CL$90,25,0),0)</f>
        <v>0</v>
      </c>
      <c r="K48" s="258">
        <f>IFERROR(VLOOKUP(A48,CFR20212022_BenchMarkDataReport!$B$4:$CL$90,26,0),0)</f>
        <v>1900</v>
      </c>
      <c r="L48" s="258">
        <f>IFERROR(VLOOKUP(A48,CFR20212022_BenchMarkDataReport!$B$4:$CL$90,27,0),0)</f>
        <v>1687.87</v>
      </c>
      <c r="M48" s="258">
        <f>IFERROR(VLOOKUP(A48,CFR20212022_BenchMarkDataReport!$B$4:$CL$90,28,0),0)</f>
        <v>23992.35</v>
      </c>
      <c r="N48" s="258">
        <f>IFERROR(VLOOKUP(A48,CFR20212022_BenchMarkDataReport!$B$4:$CL$90,29,0),0)</f>
        <v>0</v>
      </c>
      <c r="O48" s="258">
        <f>IFERROR(VLOOKUP(A48,CFR20212022_BenchMarkDataReport!$B$4:$CL$90,30,0),0)</f>
        <v>0</v>
      </c>
      <c r="P48" s="258">
        <f>IFERROR(VLOOKUP(A48,CFR20212022_BenchMarkDataReport!$B$4:$CL$90,31,0),0)</f>
        <v>20969.419999999998</v>
      </c>
      <c r="Q48" s="258">
        <f>IFERROR(VLOOKUP(A48,CFR20212022_BenchMarkDataReport!$B$4:$CL$90,32,0),0)</f>
        <v>238808.76</v>
      </c>
      <c r="R48" s="258">
        <f>IFERROR(VLOOKUP(A48,CFR20212022_BenchMarkDataReport!$B$4:$CL$90,33,0),0)</f>
        <v>0</v>
      </c>
      <c r="S48" s="258">
        <f>IFERROR(VLOOKUP(A48,CFR20212022_BenchMarkDataReport!$B$4:$CL$90,34,0),0)</f>
        <v>0</v>
      </c>
      <c r="T48" s="258">
        <f>IFERROR(VLOOKUP(A48,CFR20212022_BenchMarkDataReport!$B$4:$CL$90,35,0),0)</f>
        <v>0</v>
      </c>
      <c r="U48" s="258">
        <f t="shared" si="0"/>
        <v>107412.95</v>
      </c>
      <c r="V48" s="258">
        <f>IFERROR(VLOOKUP(A48,CFR20212022_BenchMarkDataReport!$B$4:$CL$90,40,0),0)</f>
        <v>1278883.73</v>
      </c>
      <c r="W48" s="258">
        <f>IFERROR(VLOOKUP(A48,CFR20212022_BenchMarkDataReport!$B$4:$CL$90,41,0),0)</f>
        <v>0</v>
      </c>
      <c r="X48" s="258">
        <f>IFERROR(VLOOKUP(A48,CFR20212022_BenchMarkDataReport!$B$4:$CL$90,42,0),0)</f>
        <v>183152.82</v>
      </c>
      <c r="Y48" s="258">
        <f>IFERROR(VLOOKUP(A48,CFR20212022_BenchMarkDataReport!$B$4:$CL$90,43,0),0)</f>
        <v>36701.760000000002</v>
      </c>
      <c r="Z48" s="258">
        <f>IFERROR(VLOOKUP(A48,CFR20212022_BenchMarkDataReport!$B$4:$CL$90,44,0),0)</f>
        <v>145673.19</v>
      </c>
      <c r="AA48" s="258">
        <f>IFERROR(VLOOKUP(A48,CFR20212022_BenchMarkDataReport!$B$4:$CL$90,45,0),0)</f>
        <v>0</v>
      </c>
      <c r="AB48" s="258">
        <f>IFERROR(VLOOKUP(A48,CFR20212022_BenchMarkDataReport!$B$4:$CL$90,46,0),0)</f>
        <v>34692.199999999997</v>
      </c>
      <c r="AC48" s="258">
        <f>IFERROR(VLOOKUP(A48,CFR20212022_BenchMarkDataReport!$B$4:$CL$90,47,0),0)</f>
        <v>-1897.68</v>
      </c>
      <c r="AD48" s="258">
        <f>IFERROR(VLOOKUP(A48,CFR20212022_BenchMarkDataReport!$B$4:$CL$90,48,0),0)</f>
        <v>3140</v>
      </c>
      <c r="AE48" s="258">
        <f>IFERROR(VLOOKUP(A48,CFR20212022_BenchMarkDataReport!$B$4:$CL$90,49,0),0)</f>
        <v>623.20000000000005</v>
      </c>
      <c r="AF48" s="258">
        <f>IFERROR(VLOOKUP(A48,CFR20212022_BenchMarkDataReport!$B$4:$CL$90,50,0),0)</f>
        <v>0</v>
      </c>
      <c r="AG48" s="258">
        <f>IFERROR(VLOOKUP(A48,CFR20212022_BenchMarkDataReport!$B$4:$CL$90,51,0),0)</f>
        <v>10446.200000000001</v>
      </c>
      <c r="AH48" s="258">
        <f>IFERROR(VLOOKUP(A48,CFR20212022_BenchMarkDataReport!$B$4:$CL$90,52,0),0)</f>
        <v>120</v>
      </c>
      <c r="AI48" s="258">
        <f>IFERROR(VLOOKUP(A48,CFR20212022_BenchMarkDataReport!$B$4:$CL$90,53,0),0)</f>
        <v>34201.82</v>
      </c>
      <c r="AJ48" s="258">
        <f>IFERROR(VLOOKUP(A48,CFR20212022_BenchMarkDataReport!$B$4:$CL$90,54,0),0)</f>
        <v>8413.36</v>
      </c>
      <c r="AK48" s="258">
        <f>IFERROR(VLOOKUP(A48,CFR20212022_BenchMarkDataReport!$B$4:$CL$90,55,0),0)</f>
        <v>39267.14</v>
      </c>
      <c r="AL48" s="258">
        <f>IFERROR(VLOOKUP(A48,CFR20212022_BenchMarkDataReport!$B$4:$CL$90,56,0),0)</f>
        <v>4787.2</v>
      </c>
      <c r="AM48" s="258">
        <f>IFERROR(VLOOKUP(A48,CFR20212022_BenchMarkDataReport!$B$4:$CL$90,57,0),0)</f>
        <v>81069.960000000006</v>
      </c>
      <c r="AN48" s="258">
        <f>IFERROR(VLOOKUP(A48,CFR20212022_BenchMarkDataReport!$B$4:$CL$90,58,0),0)</f>
        <v>109900.26</v>
      </c>
      <c r="AO48" s="258">
        <f>IFERROR(VLOOKUP(A48,CFR20212022_BenchMarkDataReport!$B$4:$CL$90,59,0),0)</f>
        <v>12934.31</v>
      </c>
      <c r="AP48" s="258">
        <f>IFERROR(VLOOKUP(A48,CFR20212022_BenchMarkDataReport!$B$4:$CL$90,60,0),0)</f>
        <v>0</v>
      </c>
      <c r="AQ48" s="258">
        <f>IFERROR(VLOOKUP(A48,CFR20212022_BenchMarkDataReport!$B$4:$CL$90,61,0),0)</f>
        <v>11579.84</v>
      </c>
      <c r="AR48" s="258">
        <f>IFERROR(VLOOKUP(A48,CFR20212022_BenchMarkDataReport!$B$4:$CL$90,62,0),0)</f>
        <v>3370.6</v>
      </c>
      <c r="AS48" s="258">
        <f>IFERROR(VLOOKUP(A48,CFR20212022_BenchMarkDataReport!$B$4:$CL$90,63,0),0)</f>
        <v>94451.13</v>
      </c>
      <c r="AT48" s="258">
        <f>IFERROR(VLOOKUP(A48,CFR20212022_BenchMarkDataReport!$B$4:$CL$90,64,0),0)</f>
        <v>84748.85</v>
      </c>
      <c r="AU48" s="258">
        <f>IFERROR(VLOOKUP(A48,CFR20212022_BenchMarkDataReport!$B$4:$CL$90,65,0),0)</f>
        <v>0</v>
      </c>
      <c r="AV48" s="258">
        <f>IFERROR(VLOOKUP(A48,CFR20212022_BenchMarkDataReport!$B$4:$CL$90,66,0),0)</f>
        <v>192703.86</v>
      </c>
      <c r="AW48" s="258">
        <f>IFERROR(VLOOKUP(A48,CFR20212022_BenchMarkDataReport!$B$4:$CL$90,67,0),0)</f>
        <v>28005.52</v>
      </c>
      <c r="AX48" s="258">
        <f>IFERROR(VLOOKUP(A48,CFR20212022_BenchMarkDataReport!$B$4:$CL$90,68,0),0)</f>
        <v>0</v>
      </c>
      <c r="AY48" s="258">
        <f>IFERROR(VLOOKUP(A48,CFR20212022_BenchMarkDataReport!$B$4:$CL$90,69,0),0)</f>
        <v>0</v>
      </c>
      <c r="AZ48" s="258">
        <f>IFERROR(VLOOKUP(A48,CFR20212022_BenchMarkDataReport!$B$4:$CL$90,70,0),0)</f>
        <v>0</v>
      </c>
      <c r="BA48" s="258">
        <f>IFERROR(VLOOKUP(A48,CFR20212022_BenchMarkDataReport!$B$4:$CL$90,71,0),0)</f>
        <v>0</v>
      </c>
      <c r="BB48" s="258">
        <f>IFERROR(VLOOKUP(A48,CFR20212022_BenchMarkDataReport!$B$4:$CL$90,72,0),0)</f>
        <v>0</v>
      </c>
      <c r="BC48" s="259">
        <f t="shared" si="84"/>
        <v>2309320.6900000004</v>
      </c>
      <c r="BD48" s="260">
        <f t="shared" si="81"/>
        <v>2396969.27</v>
      </c>
      <c r="BE48" s="300">
        <f t="shared" si="82"/>
        <v>-87648.579999999609</v>
      </c>
      <c r="BF48" s="258">
        <f>IFERROR(VLOOKUP(A48,CFR20212022_BenchMarkDataReport!$B$4:$CL$90,16,0),0)</f>
        <v>26098.49</v>
      </c>
      <c r="BG48" s="300">
        <f t="shared" si="83"/>
        <v>-61550.089999999604</v>
      </c>
      <c r="BH48" s="261">
        <f>IFERROR(VLOOKUP(A48,'Pupil Nos BenchmarkData 21-22'!$A$6:$E$94,5,0),0)</f>
        <v>430</v>
      </c>
      <c r="BI48" s="260">
        <f t="shared" si="1"/>
        <v>1832671.94</v>
      </c>
      <c r="BJ48" s="227" t="s">
        <v>183</v>
      </c>
      <c r="BK48" s="262">
        <f t="shared" si="85"/>
        <v>0.76366933689058125</v>
      </c>
      <c r="BL48" s="263">
        <f t="shared" si="86"/>
        <v>4101.2962790697675</v>
      </c>
      <c r="BM48" s="264">
        <f t="shared" si="87"/>
        <v>0</v>
      </c>
      <c r="BN48" s="265">
        <f t="shared" si="88"/>
        <v>0</v>
      </c>
      <c r="BO48" s="262">
        <f t="shared" si="89"/>
        <v>2.9928515471794426E-2</v>
      </c>
      <c r="BP48" s="263">
        <f t="shared" si="90"/>
        <v>160.731488372093</v>
      </c>
      <c r="BQ48" s="264">
        <f t="shared" si="91"/>
        <v>0</v>
      </c>
      <c r="BR48" s="265">
        <f t="shared" si="92"/>
        <v>0</v>
      </c>
      <c r="BS48" s="262">
        <f t="shared" si="93"/>
        <v>8.7363353592956362E-3</v>
      </c>
      <c r="BT48" s="263">
        <f t="shared" si="94"/>
        <v>46.918604651162788</v>
      </c>
      <c r="BU48" s="264">
        <f t="shared" si="95"/>
        <v>2.671885298009433E-2</v>
      </c>
      <c r="BV48" s="265">
        <f t="shared" si="96"/>
        <v>143.49395348837209</v>
      </c>
      <c r="BW48" s="262">
        <f t="shared" si="97"/>
        <v>0</v>
      </c>
      <c r="BX48" s="263">
        <f t="shared" si="98"/>
        <v>0</v>
      </c>
      <c r="BY48" s="264">
        <f t="shared" si="99"/>
        <v>1.5536473628528394E-3</v>
      </c>
      <c r="BZ48" s="266">
        <f t="shared" si="100"/>
        <v>8.3438837209302328</v>
      </c>
      <c r="CA48" s="267">
        <f t="shared" si="101"/>
        <v>9.0803412842587906E-3</v>
      </c>
      <c r="CB48" s="268">
        <f t="shared" si="102"/>
        <v>48.766093023255813</v>
      </c>
      <c r="CC48" s="264">
        <f t="shared" si="103"/>
        <v>0.10341082597757351</v>
      </c>
      <c r="CD48" s="265">
        <f t="shared" si="104"/>
        <v>555.36920930232566</v>
      </c>
      <c r="CE48" s="269">
        <f t="shared" si="105"/>
        <v>0.69782469087184262</v>
      </c>
      <c r="CF48" s="267">
        <f t="shared" si="106"/>
        <v>0.55379217600133301</v>
      </c>
      <c r="CG48" s="267">
        <f t="shared" si="107"/>
        <v>0.53354197986860297</v>
      </c>
      <c r="CH48" s="268">
        <f t="shared" si="108"/>
        <v>2974.1482093023255</v>
      </c>
      <c r="CI48" s="264">
        <f t="shared" si="109"/>
        <v>9.9937591667388109E-2</v>
      </c>
      <c r="CJ48" s="270">
        <f t="shared" si="110"/>
        <v>7.9310258117507262E-2</v>
      </c>
      <c r="CK48" s="270">
        <f t="shared" si="111"/>
        <v>7.6410166076096589E-2</v>
      </c>
      <c r="CL48" s="271">
        <f t="shared" si="112"/>
        <v>425.93679069767444</v>
      </c>
      <c r="CM48" s="269">
        <f t="shared" si="113"/>
        <v>2.0026366530171244E-2</v>
      </c>
      <c r="CN48" s="267">
        <f t="shared" si="114"/>
        <v>1.5892881468965663E-2</v>
      </c>
      <c r="CO48" s="267">
        <f t="shared" si="115"/>
        <v>1.5311735723670752E-2</v>
      </c>
      <c r="CP48" s="268">
        <f t="shared" si="116"/>
        <v>85.352930232558151</v>
      </c>
      <c r="CQ48" s="264">
        <f t="shared" si="117"/>
        <v>7.9486779286859169E-2</v>
      </c>
      <c r="CR48" s="270">
        <f t="shared" si="118"/>
        <v>6.3080537333253611E-2</v>
      </c>
      <c r="CS48" s="270">
        <f t="shared" si="119"/>
        <v>6.0773908044302966E-2</v>
      </c>
      <c r="CT48" s="265">
        <f t="shared" si="120"/>
        <v>338.77486046511626</v>
      </c>
      <c r="CU48" s="269">
        <f t="shared" si="121"/>
        <v>0.91620527566979604</v>
      </c>
      <c r="CV48" s="267">
        <f t="shared" si="122"/>
        <v>0.72709853909462863</v>
      </c>
      <c r="CW48" s="267">
        <f t="shared" si="123"/>
        <v>0.70051115006576614</v>
      </c>
      <c r="CX48" s="268">
        <f t="shared" si="124"/>
        <v>3904.8923255813952</v>
      </c>
      <c r="CY48" s="264">
        <f t="shared" si="125"/>
        <v>5.6999835988103802E-3</v>
      </c>
      <c r="CZ48" s="270">
        <f t="shared" si="126"/>
        <v>4.3580867434316337E-3</v>
      </c>
      <c r="DA48" s="265">
        <f t="shared" si="127"/>
        <v>24.293488372093027</v>
      </c>
      <c r="DB48" s="269">
        <f t="shared" si="128"/>
        <v>3.5099991081654546E-3</v>
      </c>
      <c r="DC48" s="268">
        <f t="shared" si="129"/>
        <v>19.565953488372095</v>
      </c>
      <c r="DD48" s="264">
        <f t="shared" si="130"/>
        <v>2.1426169704982768E-2</v>
      </c>
      <c r="DE48" s="270">
        <f t="shared" si="131"/>
        <v>1.6381995585617166E-2</v>
      </c>
      <c r="DF48" s="265">
        <f t="shared" si="132"/>
        <v>91.318930232558145</v>
      </c>
      <c r="DG48" s="269">
        <f t="shared" si="133"/>
        <v>4.4235936738355915E-2</v>
      </c>
      <c r="DH48" s="267">
        <f t="shared" si="134"/>
        <v>3.3821860386220141E-2</v>
      </c>
      <c r="DI48" s="272">
        <f t="shared" si="135"/>
        <v>188.53479069767442</v>
      </c>
      <c r="DJ48" s="264">
        <f t="shared" si="136"/>
        <v>5.9967230141582242E-2</v>
      </c>
      <c r="DK48" s="270">
        <f t="shared" si="137"/>
        <v>4.7589865052479988E-2</v>
      </c>
      <c r="DL48" s="270">
        <f t="shared" si="138"/>
        <v>4.5849674159569011E-2</v>
      </c>
      <c r="DM48" s="265">
        <f t="shared" si="139"/>
        <v>255.58199999999999</v>
      </c>
      <c r="DN48" s="269">
        <f t="shared" si="140"/>
        <v>6.3185558458433103E-3</v>
      </c>
      <c r="DO48" s="267">
        <f t="shared" si="141"/>
        <v>4.8310339831765968E-3</v>
      </c>
      <c r="DP48" s="268">
        <f t="shared" si="142"/>
        <v>26.929860465116281</v>
      </c>
      <c r="DQ48" s="264">
        <f t="shared" si="143"/>
        <v>0.10514912996376209</v>
      </c>
      <c r="DR48" s="270">
        <f t="shared" si="144"/>
        <v>8.0394797885748437E-2</v>
      </c>
      <c r="DS48" s="265">
        <f t="shared" si="145"/>
        <v>448.14851162790694</v>
      </c>
      <c r="DT48" s="269">
        <f t="shared" si="146"/>
        <v>3.5356669382749326E-2</v>
      </c>
      <c r="DU48" s="268">
        <f t="shared" si="147"/>
        <v>197.09034883720932</v>
      </c>
      <c r="DV48" s="264">
        <f t="shared" si="2"/>
        <v>1.4268777004387712E-2</v>
      </c>
      <c r="DW48" s="265">
        <f t="shared" si="3"/>
        <v>79.539116279069773</v>
      </c>
      <c r="DX48" s="264">
        <f t="shared" si="148"/>
        <v>8.1847709197751995E-6</v>
      </c>
      <c r="DY48" s="270">
        <f t="shared" si="149"/>
        <v>6.4954166240116254E-6</v>
      </c>
      <c r="DZ48" s="270">
        <f t="shared" si="150"/>
        <v>6.2579025053583601E-6</v>
      </c>
      <c r="EA48" s="265">
        <f t="shared" si="151"/>
        <v>3.4883720930232558E-2</v>
      </c>
      <c r="EB48" s="273">
        <f>IFERROR(VLOOKUP(A48,'BARNET SCHS PUPIL PREMIUM Nos'!$E$31:$V$117,17,0),0)</f>
        <v>15</v>
      </c>
      <c r="EC48" s="258">
        <f>IFERROR(VLOOKUP(A48,CFR20212022_BenchMarkDataReport!$B$4:$CL$90,36,0),0)</f>
        <v>0</v>
      </c>
      <c r="ED48" s="258">
        <f>IFERROR(VLOOKUP(A48,CFR20212022_BenchMarkDataReport!$B$4:$CL$90,37,0),0)</f>
        <v>0</v>
      </c>
      <c r="EE48" s="258">
        <f>IFERROR(VLOOKUP(A48,CFR20212022_BenchMarkDataReport!$B$4:$CL$90,38,0),0)</f>
        <v>14810.62</v>
      </c>
      <c r="EF48" s="258">
        <f>IFERROR(VLOOKUP(A48,CFR20212022_BenchMarkDataReport!$B$4:$CL$90,39,0),0)</f>
        <v>92602.33</v>
      </c>
      <c r="EG48" s="227"/>
    </row>
    <row r="49" spans="1:137" s="5" customFormat="1">
      <c r="A49" s="147">
        <v>3305</v>
      </c>
      <c r="B49" s="298">
        <v>10078</v>
      </c>
      <c r="C49" s="147" t="s">
        <v>74</v>
      </c>
      <c r="D49" s="258">
        <f>IFERROR(VLOOKUP(A49,CFR20212022_BenchMarkDataReport!$B$4:$CL$90,19,0),0)</f>
        <v>723294.54</v>
      </c>
      <c r="E49" s="258">
        <f>IFERROR(VLOOKUP(A49,CFR20212022_BenchMarkDataReport!$B$4:$CL$90,20,0),0)</f>
        <v>0</v>
      </c>
      <c r="F49" s="258">
        <f>IFERROR(VLOOKUP(A49,CFR20212022_BenchMarkDataReport!$B$4:$CL$90,21,0),0)</f>
        <v>40728.97</v>
      </c>
      <c r="G49" s="258">
        <f>IFERROR(VLOOKUP(A49,CFR20212022_BenchMarkDataReport!$B$4:$CL$90,22,0),0)</f>
        <v>0</v>
      </c>
      <c r="H49" s="258">
        <f>IFERROR(VLOOKUP(A49,CFR20212022_BenchMarkDataReport!$B$4:$CL$90,23,0),0)</f>
        <v>23520</v>
      </c>
      <c r="I49" s="258">
        <f>IFERROR(VLOOKUP(A49,CFR20212022_BenchMarkDataReport!$B$4:$CL$90,24,0),0)</f>
        <v>-10875.96</v>
      </c>
      <c r="J49" s="258">
        <f>IFERROR(VLOOKUP(A49,CFR20212022_BenchMarkDataReport!$B$4:$CL$90,25,0),0)</f>
        <v>43014.96</v>
      </c>
      <c r="K49" s="258">
        <f>IFERROR(VLOOKUP(A49,CFR20212022_BenchMarkDataReport!$B$4:$CL$90,26,0),0)</f>
        <v>5042</v>
      </c>
      <c r="L49" s="258">
        <f>IFERROR(VLOOKUP(A49,CFR20212022_BenchMarkDataReport!$B$4:$CL$90,27,0),0)</f>
        <v>3876.52</v>
      </c>
      <c r="M49" s="258">
        <f>IFERROR(VLOOKUP(A49,CFR20212022_BenchMarkDataReport!$B$4:$CL$90,28,0),0)</f>
        <v>17553.36</v>
      </c>
      <c r="N49" s="258">
        <f>IFERROR(VLOOKUP(A49,CFR20212022_BenchMarkDataReport!$B$4:$CL$90,29,0),0)</f>
        <v>882</v>
      </c>
      <c r="O49" s="258">
        <f>IFERROR(VLOOKUP(A49,CFR20212022_BenchMarkDataReport!$B$4:$CL$90,30,0),0)</f>
        <v>0</v>
      </c>
      <c r="P49" s="258">
        <f>IFERROR(VLOOKUP(A49,CFR20212022_BenchMarkDataReport!$B$4:$CL$90,31,0),0)</f>
        <v>23744.92</v>
      </c>
      <c r="Q49" s="258">
        <f>IFERROR(VLOOKUP(A49,CFR20212022_BenchMarkDataReport!$B$4:$CL$90,32,0),0)</f>
        <v>9179.77</v>
      </c>
      <c r="R49" s="258">
        <f>IFERROR(VLOOKUP(A49,CFR20212022_BenchMarkDataReport!$B$4:$CL$90,33,0),0)</f>
        <v>0</v>
      </c>
      <c r="S49" s="258">
        <f>IFERROR(VLOOKUP(A49,CFR20212022_BenchMarkDataReport!$B$4:$CL$90,34,0),0)</f>
        <v>0</v>
      </c>
      <c r="T49" s="258">
        <f>IFERROR(VLOOKUP(A49,CFR20212022_BenchMarkDataReport!$B$4:$CL$90,35,0),0)</f>
        <v>0</v>
      </c>
      <c r="U49" s="258">
        <f t="shared" si="0"/>
        <v>48453.17</v>
      </c>
      <c r="V49" s="258">
        <f>IFERROR(VLOOKUP(A49,CFR20212022_BenchMarkDataReport!$B$4:$CL$90,40,0),0)</f>
        <v>511587.09</v>
      </c>
      <c r="W49" s="258">
        <f>IFERROR(VLOOKUP(A49,CFR20212022_BenchMarkDataReport!$B$4:$CL$90,41,0),0)</f>
        <v>0</v>
      </c>
      <c r="X49" s="258">
        <f>IFERROR(VLOOKUP(A49,CFR20212022_BenchMarkDataReport!$B$4:$CL$90,42,0),0)</f>
        <v>125430.71</v>
      </c>
      <c r="Y49" s="258">
        <f>IFERROR(VLOOKUP(A49,CFR20212022_BenchMarkDataReport!$B$4:$CL$90,43,0),0)</f>
        <v>41541.089999999997</v>
      </c>
      <c r="Z49" s="258">
        <f>IFERROR(VLOOKUP(A49,CFR20212022_BenchMarkDataReport!$B$4:$CL$90,44,0),0)</f>
        <v>35055.9</v>
      </c>
      <c r="AA49" s="258">
        <f>IFERROR(VLOOKUP(A49,CFR20212022_BenchMarkDataReport!$B$4:$CL$90,45,0),0)</f>
        <v>0</v>
      </c>
      <c r="AB49" s="258">
        <f>IFERROR(VLOOKUP(A49,CFR20212022_BenchMarkDataReport!$B$4:$CL$90,46,0),0)</f>
        <v>35911.050000000003</v>
      </c>
      <c r="AC49" s="258">
        <f>IFERROR(VLOOKUP(A49,CFR20212022_BenchMarkDataReport!$B$4:$CL$90,47,0),0)</f>
        <v>1910.66</v>
      </c>
      <c r="AD49" s="258">
        <f>IFERROR(VLOOKUP(A49,CFR20212022_BenchMarkDataReport!$B$4:$CL$90,48,0),0)</f>
        <v>4687</v>
      </c>
      <c r="AE49" s="258">
        <f>IFERROR(VLOOKUP(A49,CFR20212022_BenchMarkDataReport!$B$4:$CL$90,49,0),0)</f>
        <v>6332.33</v>
      </c>
      <c r="AF49" s="258">
        <f>IFERROR(VLOOKUP(A49,CFR20212022_BenchMarkDataReport!$B$4:$CL$90,50,0),0)</f>
        <v>0</v>
      </c>
      <c r="AG49" s="258">
        <f>IFERROR(VLOOKUP(A49,CFR20212022_BenchMarkDataReport!$B$4:$CL$90,51,0),0)</f>
        <v>8088.33</v>
      </c>
      <c r="AH49" s="258">
        <f>IFERROR(VLOOKUP(A49,CFR20212022_BenchMarkDataReport!$B$4:$CL$90,52,0),0)</f>
        <v>0</v>
      </c>
      <c r="AI49" s="258">
        <f>IFERROR(VLOOKUP(A49,CFR20212022_BenchMarkDataReport!$B$4:$CL$90,53,0),0)</f>
        <v>788.52</v>
      </c>
      <c r="AJ49" s="258">
        <f>IFERROR(VLOOKUP(A49,CFR20212022_BenchMarkDataReport!$B$4:$CL$90,54,0),0)</f>
        <v>-829.42</v>
      </c>
      <c r="AK49" s="258">
        <f>IFERROR(VLOOKUP(A49,CFR20212022_BenchMarkDataReport!$B$4:$CL$90,55,0),0)</f>
        <v>12837.2</v>
      </c>
      <c r="AL49" s="258">
        <f>IFERROR(VLOOKUP(A49,CFR20212022_BenchMarkDataReport!$B$4:$CL$90,56,0),0)</f>
        <v>1544.06</v>
      </c>
      <c r="AM49" s="258">
        <f>IFERROR(VLOOKUP(A49,CFR20212022_BenchMarkDataReport!$B$4:$CL$90,57,0),0)</f>
        <v>4938.49</v>
      </c>
      <c r="AN49" s="258">
        <f>IFERROR(VLOOKUP(A49,CFR20212022_BenchMarkDataReport!$B$4:$CL$90,58,0),0)</f>
        <v>39523.75</v>
      </c>
      <c r="AO49" s="258">
        <f>IFERROR(VLOOKUP(A49,CFR20212022_BenchMarkDataReport!$B$4:$CL$90,59,0),0)</f>
        <v>11043.27</v>
      </c>
      <c r="AP49" s="258">
        <f>IFERROR(VLOOKUP(A49,CFR20212022_BenchMarkDataReport!$B$4:$CL$90,60,0),0)</f>
        <v>0</v>
      </c>
      <c r="AQ49" s="258">
        <f>IFERROR(VLOOKUP(A49,CFR20212022_BenchMarkDataReport!$B$4:$CL$90,61,0),0)</f>
        <v>7831.66</v>
      </c>
      <c r="AR49" s="258">
        <f>IFERROR(VLOOKUP(A49,CFR20212022_BenchMarkDataReport!$B$4:$CL$90,62,0),0)</f>
        <v>5134.96</v>
      </c>
      <c r="AS49" s="258">
        <f>IFERROR(VLOOKUP(A49,CFR20212022_BenchMarkDataReport!$B$4:$CL$90,63,0),0)</f>
        <v>4428.33</v>
      </c>
      <c r="AT49" s="258">
        <f>IFERROR(VLOOKUP(A49,CFR20212022_BenchMarkDataReport!$B$4:$CL$90,64,0),0)</f>
        <v>43805.54</v>
      </c>
      <c r="AU49" s="258">
        <f>IFERROR(VLOOKUP(A49,CFR20212022_BenchMarkDataReport!$B$4:$CL$90,65,0),0)</f>
        <v>0</v>
      </c>
      <c r="AV49" s="258">
        <f>IFERROR(VLOOKUP(A49,CFR20212022_BenchMarkDataReport!$B$4:$CL$90,66,0),0)</f>
        <v>19149.78</v>
      </c>
      <c r="AW49" s="258">
        <f>IFERROR(VLOOKUP(A49,CFR20212022_BenchMarkDataReport!$B$4:$CL$90,67,0),0)</f>
        <v>27253.360000000001</v>
      </c>
      <c r="AX49" s="258">
        <f>IFERROR(VLOOKUP(A49,CFR20212022_BenchMarkDataReport!$B$4:$CL$90,68,0),0)</f>
        <v>0</v>
      </c>
      <c r="AY49" s="258">
        <f>IFERROR(VLOOKUP(A49,CFR20212022_BenchMarkDataReport!$B$4:$CL$90,69,0),0)</f>
        <v>0</v>
      </c>
      <c r="AZ49" s="258">
        <f>IFERROR(VLOOKUP(A49,CFR20212022_BenchMarkDataReport!$B$4:$CL$90,70,0),0)</f>
        <v>0</v>
      </c>
      <c r="BA49" s="258">
        <f>IFERROR(VLOOKUP(A49,CFR20212022_BenchMarkDataReport!$B$4:$CL$90,71,0),0)</f>
        <v>0</v>
      </c>
      <c r="BB49" s="258">
        <f>IFERROR(VLOOKUP(A49,CFR20212022_BenchMarkDataReport!$B$4:$CL$90,72,0),0)</f>
        <v>0</v>
      </c>
      <c r="BC49" s="259">
        <f t="shared" si="84"/>
        <v>928414.25000000012</v>
      </c>
      <c r="BD49" s="260">
        <f t="shared" si="81"/>
        <v>947993.66</v>
      </c>
      <c r="BE49" s="300">
        <f t="shared" si="82"/>
        <v>-19579.409999999916</v>
      </c>
      <c r="BF49" s="258">
        <f>IFERROR(VLOOKUP(A49,CFR20212022_BenchMarkDataReport!$B$4:$CL$90,16,0),0)</f>
        <v>93323.839999999997</v>
      </c>
      <c r="BG49" s="300">
        <f t="shared" si="83"/>
        <v>73744.43000000008</v>
      </c>
      <c r="BH49" s="261">
        <f>IFERROR(VLOOKUP(A49,'Pupil Nos BenchmarkData 21-22'!$A$6:$E$94,5,0),0)</f>
        <v>148</v>
      </c>
      <c r="BI49" s="260">
        <f t="shared" si="1"/>
        <v>764023.51</v>
      </c>
      <c r="BJ49" s="227" t="s">
        <v>183</v>
      </c>
      <c r="BK49" s="262">
        <f t="shared" si="85"/>
        <v>0.77906445317917072</v>
      </c>
      <c r="BL49" s="263">
        <f t="shared" si="86"/>
        <v>4887.1252702702704</v>
      </c>
      <c r="BM49" s="264">
        <f t="shared" si="87"/>
        <v>0</v>
      </c>
      <c r="BN49" s="265">
        <f t="shared" si="88"/>
        <v>0</v>
      </c>
      <c r="BO49" s="262">
        <f t="shared" si="89"/>
        <v>4.386939343078803E-2</v>
      </c>
      <c r="BP49" s="263">
        <f t="shared" si="90"/>
        <v>275.19574324324327</v>
      </c>
      <c r="BQ49" s="264">
        <f t="shared" si="91"/>
        <v>0</v>
      </c>
      <c r="BR49" s="265">
        <f t="shared" si="92"/>
        <v>0</v>
      </c>
      <c r="BS49" s="262">
        <f t="shared" si="93"/>
        <v>2.533351895449687E-2</v>
      </c>
      <c r="BT49" s="263">
        <f t="shared" si="94"/>
        <v>158.91891891891891</v>
      </c>
      <c r="BU49" s="264">
        <f t="shared" si="95"/>
        <v>-1.1714555221443443E-2</v>
      </c>
      <c r="BV49" s="265">
        <f t="shared" si="96"/>
        <v>-73.486216216216206</v>
      </c>
      <c r="BW49" s="262">
        <f t="shared" si="97"/>
        <v>4.6331645598933872E-2</v>
      </c>
      <c r="BX49" s="263">
        <f t="shared" si="98"/>
        <v>290.6416216216216</v>
      </c>
      <c r="BY49" s="264">
        <f t="shared" si="99"/>
        <v>9.6061860317202142E-3</v>
      </c>
      <c r="BZ49" s="266">
        <f t="shared" si="100"/>
        <v>60.260270270270276</v>
      </c>
      <c r="CA49" s="267">
        <f t="shared" si="101"/>
        <v>2.5575781500553223E-2</v>
      </c>
      <c r="CB49" s="268">
        <f t="shared" si="102"/>
        <v>160.43864864864864</v>
      </c>
      <c r="CC49" s="264">
        <f t="shared" si="103"/>
        <v>9.887579816875925E-3</v>
      </c>
      <c r="CD49" s="265">
        <f t="shared" si="104"/>
        <v>62.025472972972977</v>
      </c>
      <c r="CE49" s="269">
        <f t="shared" si="105"/>
        <v>0.66959600497110361</v>
      </c>
      <c r="CF49" s="267">
        <f t="shared" si="106"/>
        <v>0.55103321604553135</v>
      </c>
      <c r="CG49" s="267">
        <f t="shared" si="107"/>
        <v>0.53965243818191777</v>
      </c>
      <c r="CH49" s="268">
        <f t="shared" si="108"/>
        <v>3456.669527027027</v>
      </c>
      <c r="CI49" s="264">
        <f t="shared" si="109"/>
        <v>0.1641712700699485</v>
      </c>
      <c r="CJ49" s="270">
        <f t="shared" si="110"/>
        <v>0.13510209478150512</v>
      </c>
      <c r="CK49" s="270">
        <f t="shared" si="111"/>
        <v>0.13231176039721615</v>
      </c>
      <c r="CL49" s="271">
        <f t="shared" si="112"/>
        <v>847.50479729729739</v>
      </c>
      <c r="CM49" s="269">
        <f t="shared" si="113"/>
        <v>5.437148131737464E-2</v>
      </c>
      <c r="CN49" s="267">
        <f t="shared" si="114"/>
        <v>4.4744132266388618E-2</v>
      </c>
      <c r="CO49" s="267">
        <f t="shared" si="115"/>
        <v>4.3820008247734479E-2</v>
      </c>
      <c r="CP49" s="268">
        <f t="shared" si="116"/>
        <v>280.6830405405405</v>
      </c>
      <c r="CQ49" s="264">
        <f t="shared" si="117"/>
        <v>4.5883273932238032E-2</v>
      </c>
      <c r="CR49" s="270">
        <f t="shared" si="118"/>
        <v>3.7758899112115087E-2</v>
      </c>
      <c r="CS49" s="270">
        <f t="shared" si="119"/>
        <v>3.6979044775468227E-2</v>
      </c>
      <c r="CT49" s="265">
        <f t="shared" si="120"/>
        <v>236.8641891891892</v>
      </c>
      <c r="CU49" s="269">
        <f t="shared" si="121"/>
        <v>0.981024576063111</v>
      </c>
      <c r="CV49" s="267">
        <f t="shared" si="122"/>
        <v>0.80731832799851999</v>
      </c>
      <c r="CW49" s="267">
        <f t="shared" si="123"/>
        <v>0.79064435937261446</v>
      </c>
      <c r="CX49" s="268">
        <f t="shared" si="124"/>
        <v>5064.3637837837841</v>
      </c>
      <c r="CY49" s="264">
        <f t="shared" si="125"/>
        <v>1.0586493601486164E-2</v>
      </c>
      <c r="CZ49" s="270">
        <f t="shared" si="126"/>
        <v>8.5320507312253539E-3</v>
      </c>
      <c r="DA49" s="265">
        <f t="shared" si="127"/>
        <v>54.65087837837838</v>
      </c>
      <c r="DB49" s="269">
        <f t="shared" si="128"/>
        <v>-8.7492146308235856E-4</v>
      </c>
      <c r="DC49" s="268">
        <f t="shared" si="129"/>
        <v>-5.6041891891891886</v>
      </c>
      <c r="DD49" s="264">
        <f t="shared" si="130"/>
        <v>1.6802100762579937E-2</v>
      </c>
      <c r="DE49" s="270">
        <f t="shared" si="131"/>
        <v>1.3541440772926688E-2</v>
      </c>
      <c r="DF49" s="265">
        <f t="shared" si="132"/>
        <v>86.737837837837844</v>
      </c>
      <c r="DG49" s="269">
        <f t="shared" si="133"/>
        <v>6.4637932411268336E-3</v>
      </c>
      <c r="DH49" s="267">
        <f t="shared" si="134"/>
        <v>5.2094124764505275E-3</v>
      </c>
      <c r="DI49" s="272">
        <f t="shared" si="135"/>
        <v>33.368175675675673</v>
      </c>
      <c r="DJ49" s="264">
        <f t="shared" si="136"/>
        <v>5.173106518672442E-2</v>
      </c>
      <c r="DK49" s="270">
        <f t="shared" si="137"/>
        <v>4.2571244463341658E-2</v>
      </c>
      <c r="DL49" s="270">
        <f t="shared" si="138"/>
        <v>4.1691998235515622E-2</v>
      </c>
      <c r="DM49" s="265">
        <f t="shared" si="139"/>
        <v>267.05236486486484</v>
      </c>
      <c r="DN49" s="269">
        <f t="shared" si="140"/>
        <v>1.0250548441892842E-2</v>
      </c>
      <c r="DO49" s="267">
        <f t="shared" si="141"/>
        <v>8.2612999753605941E-3</v>
      </c>
      <c r="DP49" s="268">
        <f t="shared" si="142"/>
        <v>52.916621621621623</v>
      </c>
      <c r="DQ49" s="264">
        <f t="shared" si="143"/>
        <v>2.5064385780484685E-2</v>
      </c>
      <c r="DR49" s="270">
        <f t="shared" si="144"/>
        <v>2.0200324968418035E-2</v>
      </c>
      <c r="DS49" s="265">
        <f t="shared" si="145"/>
        <v>129.3904054054054</v>
      </c>
      <c r="DT49" s="269">
        <f t="shared" si="146"/>
        <v>4.6208684560189991E-2</v>
      </c>
      <c r="DU49" s="268">
        <f t="shared" si="147"/>
        <v>295.9833783783784</v>
      </c>
      <c r="DV49" s="264">
        <f t="shared" si="2"/>
        <v>8.3177771463155143E-4</v>
      </c>
      <c r="DW49" s="265">
        <f t="shared" si="3"/>
        <v>5.3278378378378379</v>
      </c>
      <c r="DX49" s="264">
        <f t="shared" si="148"/>
        <v>1.8324043457772655E-5</v>
      </c>
      <c r="DY49" s="270">
        <f t="shared" si="149"/>
        <v>1.5079475568152899E-5</v>
      </c>
      <c r="DZ49" s="270">
        <f t="shared" si="150"/>
        <v>1.4768031254555015E-5</v>
      </c>
      <c r="EA49" s="265">
        <f t="shared" si="151"/>
        <v>9.45945945945946E-2</v>
      </c>
      <c r="EB49" s="273">
        <f>IFERROR(VLOOKUP(A49,'BARNET SCHS PUPIL PREMIUM Nos'!$E$31:$V$117,17,0),0)</f>
        <v>14</v>
      </c>
      <c r="EC49" s="258">
        <f>IFERROR(VLOOKUP(A49,CFR20212022_BenchMarkDataReport!$B$4:$CL$90,36,0),0)</f>
        <v>0</v>
      </c>
      <c r="ED49" s="258">
        <f>IFERROR(VLOOKUP(A49,CFR20212022_BenchMarkDataReport!$B$4:$CL$90,37,0),0)</f>
        <v>0</v>
      </c>
      <c r="EE49" s="258">
        <f>IFERROR(VLOOKUP(A49,CFR20212022_BenchMarkDataReport!$B$4:$CL$90,38,0),0)</f>
        <v>7196</v>
      </c>
      <c r="EF49" s="258">
        <f>IFERROR(VLOOKUP(A49,CFR20212022_BenchMarkDataReport!$B$4:$CL$90,39,0),0)</f>
        <v>41257.17</v>
      </c>
      <c r="EG49" s="227"/>
    </row>
    <row r="50" spans="1:137" s="5" customFormat="1">
      <c r="A50" s="147">
        <v>2042</v>
      </c>
      <c r="B50" s="298">
        <v>10079</v>
      </c>
      <c r="C50" s="147" t="s">
        <v>75</v>
      </c>
      <c r="D50" s="258">
        <f>IFERROR(VLOOKUP(A50,CFR20212022_BenchMarkDataReport!$B$4:$CL$90,19,0),0)</f>
        <v>1843083.45</v>
      </c>
      <c r="E50" s="258">
        <f>IFERROR(VLOOKUP(A50,CFR20212022_BenchMarkDataReport!$B$4:$CL$90,20,0),0)</f>
        <v>0</v>
      </c>
      <c r="F50" s="258">
        <f>IFERROR(VLOOKUP(A50,CFR20212022_BenchMarkDataReport!$B$4:$CL$90,21,0),0)</f>
        <v>104676.27</v>
      </c>
      <c r="G50" s="258">
        <f>IFERROR(VLOOKUP(A50,CFR20212022_BenchMarkDataReport!$B$4:$CL$90,22,0),0)</f>
        <v>0</v>
      </c>
      <c r="H50" s="258">
        <f>IFERROR(VLOOKUP(A50,CFR20212022_BenchMarkDataReport!$B$4:$CL$90,23,0),0)</f>
        <v>53184.959999999999</v>
      </c>
      <c r="I50" s="258">
        <f>IFERROR(VLOOKUP(A50,CFR20212022_BenchMarkDataReport!$B$4:$CL$90,24,0),0)</f>
        <v>0</v>
      </c>
      <c r="J50" s="258">
        <f>IFERROR(VLOOKUP(A50,CFR20212022_BenchMarkDataReport!$B$4:$CL$90,25,0),0)</f>
        <v>0</v>
      </c>
      <c r="K50" s="258">
        <f>IFERROR(VLOOKUP(A50,CFR20212022_BenchMarkDataReport!$B$4:$CL$90,26,0),0)</f>
        <v>96688.66</v>
      </c>
      <c r="L50" s="258">
        <f>IFERROR(VLOOKUP(A50,CFR20212022_BenchMarkDataReport!$B$4:$CL$90,27,0),0)</f>
        <v>16372.32</v>
      </c>
      <c r="M50" s="258">
        <f>IFERROR(VLOOKUP(A50,CFR20212022_BenchMarkDataReport!$B$4:$CL$90,28,0),0)</f>
        <v>45168.75</v>
      </c>
      <c r="N50" s="258">
        <f>IFERROR(VLOOKUP(A50,CFR20212022_BenchMarkDataReport!$B$4:$CL$90,29,0),0)</f>
        <v>3500</v>
      </c>
      <c r="O50" s="258">
        <f>IFERROR(VLOOKUP(A50,CFR20212022_BenchMarkDataReport!$B$4:$CL$90,30,0),0)</f>
        <v>0</v>
      </c>
      <c r="P50" s="258">
        <f>IFERROR(VLOOKUP(A50,CFR20212022_BenchMarkDataReport!$B$4:$CL$90,31,0),0)</f>
        <v>29755.83</v>
      </c>
      <c r="Q50" s="258">
        <f>IFERROR(VLOOKUP(A50,CFR20212022_BenchMarkDataReport!$B$4:$CL$90,32,0),0)</f>
        <v>16660.830000000002</v>
      </c>
      <c r="R50" s="258">
        <f>IFERROR(VLOOKUP(A50,CFR20212022_BenchMarkDataReport!$B$4:$CL$90,33,0),0)</f>
        <v>0</v>
      </c>
      <c r="S50" s="258">
        <f>IFERROR(VLOOKUP(A50,CFR20212022_BenchMarkDataReport!$B$4:$CL$90,34,0),0)</f>
        <v>0</v>
      </c>
      <c r="T50" s="258">
        <f>IFERROR(VLOOKUP(A50,CFR20212022_BenchMarkDataReport!$B$4:$CL$90,35,0),0)</f>
        <v>0</v>
      </c>
      <c r="U50" s="258">
        <f t="shared" si="0"/>
        <v>112388.15</v>
      </c>
      <c r="V50" s="258">
        <f>IFERROR(VLOOKUP(A50,CFR20212022_BenchMarkDataReport!$B$4:$CL$90,40,0),0)</f>
        <v>1012470.6</v>
      </c>
      <c r="W50" s="258">
        <f>IFERROR(VLOOKUP(A50,CFR20212022_BenchMarkDataReport!$B$4:$CL$90,41,0),0)</f>
        <v>0</v>
      </c>
      <c r="X50" s="258">
        <f>IFERROR(VLOOKUP(A50,CFR20212022_BenchMarkDataReport!$B$4:$CL$90,42,0),0)</f>
        <v>524192.04</v>
      </c>
      <c r="Y50" s="258">
        <f>IFERROR(VLOOKUP(A50,CFR20212022_BenchMarkDataReport!$B$4:$CL$90,43,0),0)</f>
        <v>27728.21</v>
      </c>
      <c r="Z50" s="258">
        <f>IFERROR(VLOOKUP(A50,CFR20212022_BenchMarkDataReport!$B$4:$CL$90,44,0),0)</f>
        <v>74152.710000000006</v>
      </c>
      <c r="AA50" s="258">
        <f>IFERROR(VLOOKUP(A50,CFR20212022_BenchMarkDataReport!$B$4:$CL$90,45,0),0)</f>
        <v>0</v>
      </c>
      <c r="AB50" s="258">
        <f>IFERROR(VLOOKUP(A50,CFR20212022_BenchMarkDataReport!$B$4:$CL$90,46,0),0)</f>
        <v>147422.48000000001</v>
      </c>
      <c r="AC50" s="258">
        <f>IFERROR(VLOOKUP(A50,CFR20212022_BenchMarkDataReport!$B$4:$CL$90,47,0),0)</f>
        <v>8248.56</v>
      </c>
      <c r="AD50" s="258">
        <f>IFERROR(VLOOKUP(A50,CFR20212022_BenchMarkDataReport!$B$4:$CL$90,48,0),0)</f>
        <v>1175</v>
      </c>
      <c r="AE50" s="258">
        <f>IFERROR(VLOOKUP(A50,CFR20212022_BenchMarkDataReport!$B$4:$CL$90,49,0),0)</f>
        <v>13776.37</v>
      </c>
      <c r="AF50" s="258">
        <f>IFERROR(VLOOKUP(A50,CFR20212022_BenchMarkDataReport!$B$4:$CL$90,50,0),0)</f>
        <v>0</v>
      </c>
      <c r="AG50" s="258">
        <f>IFERROR(VLOOKUP(A50,CFR20212022_BenchMarkDataReport!$B$4:$CL$90,51,0),0)</f>
        <v>12250.29</v>
      </c>
      <c r="AH50" s="258">
        <f>IFERROR(VLOOKUP(A50,CFR20212022_BenchMarkDataReport!$B$4:$CL$90,52,0),0)</f>
        <v>4475.49</v>
      </c>
      <c r="AI50" s="258">
        <f>IFERROR(VLOOKUP(A50,CFR20212022_BenchMarkDataReport!$B$4:$CL$90,53,0),0)</f>
        <v>36730.300000000003</v>
      </c>
      <c r="AJ50" s="258">
        <f>IFERROR(VLOOKUP(A50,CFR20212022_BenchMarkDataReport!$B$4:$CL$90,54,0),0)</f>
        <v>3596.31</v>
      </c>
      <c r="AK50" s="258">
        <f>IFERROR(VLOOKUP(A50,CFR20212022_BenchMarkDataReport!$B$4:$CL$90,55,0),0)</f>
        <v>22378.41</v>
      </c>
      <c r="AL50" s="258">
        <f>IFERROR(VLOOKUP(A50,CFR20212022_BenchMarkDataReport!$B$4:$CL$90,56,0),0)</f>
        <v>31232</v>
      </c>
      <c r="AM50" s="258">
        <f>IFERROR(VLOOKUP(A50,CFR20212022_BenchMarkDataReport!$B$4:$CL$90,57,0),0)</f>
        <v>8177.7</v>
      </c>
      <c r="AN50" s="258">
        <f>IFERROR(VLOOKUP(A50,CFR20212022_BenchMarkDataReport!$B$4:$CL$90,58,0),0)</f>
        <v>87299.51</v>
      </c>
      <c r="AO50" s="258">
        <f>IFERROR(VLOOKUP(A50,CFR20212022_BenchMarkDataReport!$B$4:$CL$90,59,0),0)</f>
        <v>6368.64</v>
      </c>
      <c r="AP50" s="258">
        <f>IFERROR(VLOOKUP(A50,CFR20212022_BenchMarkDataReport!$B$4:$CL$90,60,0),0)</f>
        <v>0</v>
      </c>
      <c r="AQ50" s="258">
        <f>IFERROR(VLOOKUP(A50,CFR20212022_BenchMarkDataReport!$B$4:$CL$90,61,0),0)</f>
        <v>27189.119999999999</v>
      </c>
      <c r="AR50" s="258">
        <f>IFERROR(VLOOKUP(A50,CFR20212022_BenchMarkDataReport!$B$4:$CL$90,62,0),0)</f>
        <v>11711.75</v>
      </c>
      <c r="AS50" s="258">
        <f>IFERROR(VLOOKUP(A50,CFR20212022_BenchMarkDataReport!$B$4:$CL$90,63,0),0)</f>
        <v>7450.28</v>
      </c>
      <c r="AT50" s="258">
        <f>IFERROR(VLOOKUP(A50,CFR20212022_BenchMarkDataReport!$B$4:$CL$90,64,0),0)</f>
        <v>122369.17</v>
      </c>
      <c r="AU50" s="258">
        <f>IFERROR(VLOOKUP(A50,CFR20212022_BenchMarkDataReport!$B$4:$CL$90,65,0),0)</f>
        <v>10983.83</v>
      </c>
      <c r="AV50" s="258">
        <f>IFERROR(VLOOKUP(A50,CFR20212022_BenchMarkDataReport!$B$4:$CL$90,66,0),0)</f>
        <v>83253.91</v>
      </c>
      <c r="AW50" s="258">
        <f>IFERROR(VLOOKUP(A50,CFR20212022_BenchMarkDataReport!$B$4:$CL$90,67,0),0)</f>
        <v>15547.35</v>
      </c>
      <c r="AX50" s="258">
        <f>IFERROR(VLOOKUP(A50,CFR20212022_BenchMarkDataReport!$B$4:$CL$90,68,0),0)</f>
        <v>0</v>
      </c>
      <c r="AY50" s="258">
        <f>IFERROR(VLOOKUP(A50,CFR20212022_BenchMarkDataReport!$B$4:$CL$90,69,0),0)</f>
        <v>0</v>
      </c>
      <c r="AZ50" s="258">
        <f>IFERROR(VLOOKUP(A50,CFR20212022_BenchMarkDataReport!$B$4:$CL$90,70,0),0)</f>
        <v>5154</v>
      </c>
      <c r="BA50" s="258">
        <f>IFERROR(VLOOKUP(A50,CFR20212022_BenchMarkDataReport!$B$4:$CL$90,71,0),0)</f>
        <v>0</v>
      </c>
      <c r="BB50" s="258">
        <f>IFERROR(VLOOKUP(A50,CFR20212022_BenchMarkDataReport!$B$4:$CL$90,72,0),0)</f>
        <v>0</v>
      </c>
      <c r="BC50" s="259">
        <f t="shared" si="84"/>
        <v>2321479.2199999997</v>
      </c>
      <c r="BD50" s="260">
        <f t="shared" si="81"/>
        <v>2305334.0300000003</v>
      </c>
      <c r="BE50" s="300">
        <f t="shared" si="82"/>
        <v>16145.189999999478</v>
      </c>
      <c r="BF50" s="258">
        <f>IFERROR(VLOOKUP(A50,CFR20212022_BenchMarkDataReport!$B$4:$CL$90,16,0),0)</f>
        <v>320326.2</v>
      </c>
      <c r="BG50" s="300">
        <f t="shared" si="83"/>
        <v>336471.38999999949</v>
      </c>
      <c r="BH50" s="261">
        <f>IFERROR(VLOOKUP(A50,'Pupil Nos BenchmarkData 21-22'!$A$6:$E$94,5,0),0)</f>
        <v>423</v>
      </c>
      <c r="BI50" s="260">
        <f t="shared" si="1"/>
        <v>1947759.72</v>
      </c>
      <c r="BJ50" s="227" t="s">
        <v>183</v>
      </c>
      <c r="BK50" s="262">
        <f t="shared" si="85"/>
        <v>0.7939263182377313</v>
      </c>
      <c r="BL50" s="263">
        <f t="shared" si="86"/>
        <v>4357.1712765957445</v>
      </c>
      <c r="BM50" s="264">
        <f t="shared" si="87"/>
        <v>0</v>
      </c>
      <c r="BN50" s="265">
        <f t="shared" si="88"/>
        <v>0</v>
      </c>
      <c r="BO50" s="262">
        <f t="shared" si="89"/>
        <v>4.5090332533754066E-2</v>
      </c>
      <c r="BP50" s="263">
        <f t="shared" si="90"/>
        <v>247.46163120567377</v>
      </c>
      <c r="BQ50" s="264">
        <f t="shared" si="91"/>
        <v>0</v>
      </c>
      <c r="BR50" s="265">
        <f t="shared" si="92"/>
        <v>0</v>
      </c>
      <c r="BS50" s="262">
        <f t="shared" si="93"/>
        <v>2.2909944462048644E-2</v>
      </c>
      <c r="BT50" s="263">
        <f t="shared" si="94"/>
        <v>125.7327659574468</v>
      </c>
      <c r="BU50" s="264">
        <f t="shared" si="95"/>
        <v>0</v>
      </c>
      <c r="BV50" s="265">
        <f t="shared" si="96"/>
        <v>0</v>
      </c>
      <c r="BW50" s="262">
        <f t="shared" si="97"/>
        <v>0</v>
      </c>
      <c r="BX50" s="263">
        <f t="shared" si="98"/>
        <v>0</v>
      </c>
      <c r="BY50" s="264">
        <f t="shared" si="99"/>
        <v>4.8702128809061676E-2</v>
      </c>
      <c r="BZ50" s="266">
        <f t="shared" si="100"/>
        <v>267.28364066193853</v>
      </c>
      <c r="CA50" s="267">
        <f t="shared" si="101"/>
        <v>1.281761634721848E-2</v>
      </c>
      <c r="CB50" s="268">
        <f t="shared" si="102"/>
        <v>70.344751773049651</v>
      </c>
      <c r="CC50" s="264">
        <f t="shared" si="103"/>
        <v>7.1768163404021352E-3</v>
      </c>
      <c r="CD50" s="265">
        <f t="shared" si="104"/>
        <v>39.387304964539013</v>
      </c>
      <c r="CE50" s="269">
        <f t="shared" si="105"/>
        <v>0.52545209734597031</v>
      </c>
      <c r="CF50" s="267">
        <f t="shared" si="106"/>
        <v>0.44086305885606852</v>
      </c>
      <c r="CG50" s="267">
        <f t="shared" si="107"/>
        <v>0.44395060181365553</v>
      </c>
      <c r="CH50" s="268">
        <f t="shared" si="108"/>
        <v>2419.5140189125295</v>
      </c>
      <c r="CI50" s="264">
        <f t="shared" si="109"/>
        <v>0.26912561884173269</v>
      </c>
      <c r="CJ50" s="270">
        <f t="shared" si="110"/>
        <v>0.2258008753573939</v>
      </c>
      <c r="CK50" s="270">
        <f t="shared" si="111"/>
        <v>0.22738225054527128</v>
      </c>
      <c r="CL50" s="271">
        <f t="shared" si="112"/>
        <v>1239.2246808510638</v>
      </c>
      <c r="CM50" s="269">
        <f t="shared" si="113"/>
        <v>1.423595000722163E-2</v>
      </c>
      <c r="CN50" s="267">
        <f t="shared" si="114"/>
        <v>1.1944199095609394E-2</v>
      </c>
      <c r="CO50" s="267">
        <f t="shared" si="115"/>
        <v>1.2027849170300061E-2</v>
      </c>
      <c r="CP50" s="268">
        <f t="shared" si="116"/>
        <v>65.551323877068555</v>
      </c>
      <c r="CQ50" s="264">
        <f t="shared" si="117"/>
        <v>3.8070768811257691E-2</v>
      </c>
      <c r="CR50" s="270">
        <f t="shared" si="118"/>
        <v>3.194200894031695E-2</v>
      </c>
      <c r="CS50" s="270">
        <f t="shared" si="119"/>
        <v>3.2165711794919366E-2</v>
      </c>
      <c r="CT50" s="265">
        <f t="shared" si="120"/>
        <v>175.30191489361704</v>
      </c>
      <c r="CU50" s="269">
        <f t="shared" si="121"/>
        <v>0.91693345008695415</v>
      </c>
      <c r="CV50" s="267">
        <f t="shared" si="122"/>
        <v>0.76932243227229924</v>
      </c>
      <c r="CW50" s="267">
        <f t="shared" si="123"/>
        <v>0.77471030955110642</v>
      </c>
      <c r="CX50" s="268">
        <f t="shared" si="124"/>
        <v>4222.1419385342788</v>
      </c>
      <c r="CY50" s="264">
        <f t="shared" si="125"/>
        <v>6.2894256792619171E-3</v>
      </c>
      <c r="CZ50" s="270">
        <f t="shared" si="126"/>
        <v>5.3138893715979196E-3</v>
      </c>
      <c r="DA50" s="265">
        <f t="shared" si="127"/>
        <v>28.96049645390071</v>
      </c>
      <c r="DB50" s="269">
        <f t="shared" si="128"/>
        <v>1.559995190805386E-3</v>
      </c>
      <c r="DC50" s="268">
        <f t="shared" si="129"/>
        <v>8.5019148936170215</v>
      </c>
      <c r="DD50" s="264">
        <f t="shared" si="130"/>
        <v>1.1489307315586134E-2</v>
      </c>
      <c r="DE50" s="270">
        <f t="shared" si="131"/>
        <v>9.7072310167563864E-3</v>
      </c>
      <c r="DF50" s="265">
        <f t="shared" si="132"/>
        <v>52.904042553191488</v>
      </c>
      <c r="DG50" s="269">
        <f t="shared" si="133"/>
        <v>4.1985158210377203E-3</v>
      </c>
      <c r="DH50" s="267">
        <f t="shared" si="134"/>
        <v>3.5472950529429345E-3</v>
      </c>
      <c r="DI50" s="272">
        <f t="shared" si="135"/>
        <v>19.332624113475177</v>
      </c>
      <c r="DJ50" s="264">
        <f t="shared" si="136"/>
        <v>4.4820472003600113E-2</v>
      </c>
      <c r="DK50" s="270">
        <f t="shared" si="137"/>
        <v>3.760512230645769E-2</v>
      </c>
      <c r="DL50" s="270">
        <f t="shared" si="138"/>
        <v>3.786848624275068E-2</v>
      </c>
      <c r="DM50" s="265">
        <f t="shared" si="139"/>
        <v>206.38182033096925</v>
      </c>
      <c r="DN50" s="269">
        <f t="shared" si="140"/>
        <v>1.3959175621518653E-2</v>
      </c>
      <c r="DO50" s="267">
        <f t="shared" si="141"/>
        <v>1.1794004533043741E-2</v>
      </c>
      <c r="DP50" s="268">
        <f t="shared" si="142"/>
        <v>64.276879432624114</v>
      </c>
      <c r="DQ50" s="264">
        <f t="shared" si="143"/>
        <v>4.2743419090728506E-2</v>
      </c>
      <c r="DR50" s="270">
        <f t="shared" si="144"/>
        <v>3.6113599555028471E-2</v>
      </c>
      <c r="DS50" s="265">
        <f t="shared" si="145"/>
        <v>196.81775413711586</v>
      </c>
      <c r="DT50" s="269">
        <f t="shared" si="146"/>
        <v>5.3080884768789874E-2</v>
      </c>
      <c r="DU50" s="268">
        <f t="shared" si="147"/>
        <v>289.28881796690308</v>
      </c>
      <c r="DV50" s="264">
        <f t="shared" si="2"/>
        <v>1.5932745329751627E-2</v>
      </c>
      <c r="DW50" s="265">
        <f t="shared" si="3"/>
        <v>86.83286052009457</v>
      </c>
      <c r="DX50" s="264">
        <f t="shared" si="148"/>
        <v>1.6942541557436046E-5</v>
      </c>
      <c r="DY50" s="270">
        <f t="shared" si="149"/>
        <v>1.4215074473076698E-5</v>
      </c>
      <c r="DZ50" s="270">
        <f t="shared" si="150"/>
        <v>1.4314628409836121E-5</v>
      </c>
      <c r="EA50" s="265">
        <f t="shared" si="151"/>
        <v>7.8014184397163122E-2</v>
      </c>
      <c r="EB50" s="273">
        <f>IFERROR(VLOOKUP(A50,'BARNET SCHS PUPIL PREMIUM Nos'!$E$31:$V$117,17,0),0)</f>
        <v>33</v>
      </c>
      <c r="EC50" s="258">
        <f>IFERROR(VLOOKUP(A50,CFR20212022_BenchMarkDataReport!$B$4:$CL$90,36,0),0)</f>
        <v>0</v>
      </c>
      <c r="ED50" s="258">
        <f>IFERROR(VLOOKUP(A50,CFR20212022_BenchMarkDataReport!$B$4:$CL$90,37,0),0)</f>
        <v>21673.82</v>
      </c>
      <c r="EE50" s="258">
        <f>IFERROR(VLOOKUP(A50,CFR20212022_BenchMarkDataReport!$B$4:$CL$90,38,0),0)</f>
        <v>19503.330000000002</v>
      </c>
      <c r="EF50" s="258">
        <f>IFERROR(VLOOKUP(A50,CFR20212022_BenchMarkDataReport!$B$4:$CL$90,39,0),0)</f>
        <v>71211</v>
      </c>
      <c r="EG50" s="227"/>
    </row>
    <row r="51" spans="1:137" s="5" customFormat="1">
      <c r="A51" s="147">
        <v>2044</v>
      </c>
      <c r="B51" s="298">
        <v>10081</v>
      </c>
      <c r="C51" s="147" t="s">
        <v>76</v>
      </c>
      <c r="D51" s="258">
        <f>IFERROR(VLOOKUP(A51,CFR20212022_BenchMarkDataReport!$B$4:$CL$90,19,0),0)</f>
        <v>1646250.35</v>
      </c>
      <c r="E51" s="258">
        <f>IFERROR(VLOOKUP(A51,CFR20212022_BenchMarkDataReport!$B$4:$CL$90,20,0),0)</f>
        <v>0</v>
      </c>
      <c r="F51" s="258">
        <f>IFERROR(VLOOKUP(A51,CFR20212022_BenchMarkDataReport!$B$4:$CL$90,21,0),0)</f>
        <v>27642.400000000001</v>
      </c>
      <c r="G51" s="258">
        <f>IFERROR(VLOOKUP(A51,CFR20212022_BenchMarkDataReport!$B$4:$CL$90,22,0),0)</f>
        <v>0</v>
      </c>
      <c r="H51" s="258">
        <f>IFERROR(VLOOKUP(A51,CFR20212022_BenchMarkDataReport!$B$4:$CL$90,23,0),0)</f>
        <v>45384.959999999999</v>
      </c>
      <c r="I51" s="258">
        <f>IFERROR(VLOOKUP(A51,CFR20212022_BenchMarkDataReport!$B$4:$CL$90,24,0),0)</f>
        <v>2363.9699999999998</v>
      </c>
      <c r="J51" s="258">
        <f>IFERROR(VLOOKUP(A51,CFR20212022_BenchMarkDataReport!$B$4:$CL$90,25,0),0)</f>
        <v>6667</v>
      </c>
      <c r="K51" s="258">
        <f>IFERROR(VLOOKUP(A51,CFR20212022_BenchMarkDataReport!$B$4:$CL$90,26,0),0)</f>
        <v>8064.04</v>
      </c>
      <c r="L51" s="258">
        <f>IFERROR(VLOOKUP(A51,CFR20212022_BenchMarkDataReport!$B$4:$CL$90,27,0),0)</f>
        <v>44086.239999999998</v>
      </c>
      <c r="M51" s="258">
        <f>IFERROR(VLOOKUP(A51,CFR20212022_BenchMarkDataReport!$B$4:$CL$90,28,0),0)</f>
        <v>541.6</v>
      </c>
      <c r="N51" s="258">
        <f>IFERROR(VLOOKUP(A51,CFR20212022_BenchMarkDataReport!$B$4:$CL$90,29,0),0)</f>
        <v>18850</v>
      </c>
      <c r="O51" s="258">
        <f>IFERROR(VLOOKUP(A51,CFR20212022_BenchMarkDataReport!$B$4:$CL$90,30,0),0)</f>
        <v>99.6</v>
      </c>
      <c r="P51" s="258">
        <f>IFERROR(VLOOKUP(A51,CFR20212022_BenchMarkDataReport!$B$4:$CL$90,31,0),0)</f>
        <v>7822.77</v>
      </c>
      <c r="Q51" s="258">
        <f>IFERROR(VLOOKUP(A51,CFR20212022_BenchMarkDataReport!$B$4:$CL$90,32,0),0)</f>
        <v>14460.6</v>
      </c>
      <c r="R51" s="258">
        <f>IFERROR(VLOOKUP(A51,CFR20212022_BenchMarkDataReport!$B$4:$CL$90,33,0),0)</f>
        <v>0</v>
      </c>
      <c r="S51" s="258">
        <f>IFERROR(VLOOKUP(A51,CFR20212022_BenchMarkDataReport!$B$4:$CL$90,34,0),0)</f>
        <v>0</v>
      </c>
      <c r="T51" s="258">
        <f>IFERROR(VLOOKUP(A51,CFR20212022_BenchMarkDataReport!$B$4:$CL$90,35,0),0)</f>
        <v>0</v>
      </c>
      <c r="U51" s="258">
        <f t="shared" si="0"/>
        <v>168540.5</v>
      </c>
      <c r="V51" s="258">
        <f>IFERROR(VLOOKUP(A51,CFR20212022_BenchMarkDataReport!$B$4:$CL$90,40,0),0)</f>
        <v>856436.87</v>
      </c>
      <c r="W51" s="258">
        <f>IFERROR(VLOOKUP(A51,CFR20212022_BenchMarkDataReport!$B$4:$CL$90,41,0),0)</f>
        <v>0</v>
      </c>
      <c r="X51" s="258">
        <f>IFERROR(VLOOKUP(A51,CFR20212022_BenchMarkDataReport!$B$4:$CL$90,42,0),0)</f>
        <v>294900.53000000003</v>
      </c>
      <c r="Y51" s="258">
        <f>IFERROR(VLOOKUP(A51,CFR20212022_BenchMarkDataReport!$B$4:$CL$90,43,0),0)</f>
        <v>32374.82</v>
      </c>
      <c r="Z51" s="258">
        <f>IFERROR(VLOOKUP(A51,CFR20212022_BenchMarkDataReport!$B$4:$CL$90,44,0),0)</f>
        <v>80105.38</v>
      </c>
      <c r="AA51" s="258">
        <f>IFERROR(VLOOKUP(A51,CFR20212022_BenchMarkDataReport!$B$4:$CL$90,45,0),0)</f>
        <v>0</v>
      </c>
      <c r="AB51" s="258">
        <f>IFERROR(VLOOKUP(A51,CFR20212022_BenchMarkDataReport!$B$4:$CL$90,46,0),0)</f>
        <v>69638.64</v>
      </c>
      <c r="AC51" s="258">
        <f>IFERROR(VLOOKUP(A51,CFR20212022_BenchMarkDataReport!$B$4:$CL$90,47,0),0)</f>
        <v>35675.72</v>
      </c>
      <c r="AD51" s="258">
        <f>IFERROR(VLOOKUP(A51,CFR20212022_BenchMarkDataReport!$B$4:$CL$90,48,0),0)</f>
        <v>8188.81</v>
      </c>
      <c r="AE51" s="258">
        <f>IFERROR(VLOOKUP(A51,CFR20212022_BenchMarkDataReport!$B$4:$CL$90,49,0),0)</f>
        <v>6669.05</v>
      </c>
      <c r="AF51" s="258">
        <f>IFERROR(VLOOKUP(A51,CFR20212022_BenchMarkDataReport!$B$4:$CL$90,50,0),0)</f>
        <v>6950.4</v>
      </c>
      <c r="AG51" s="258">
        <f>IFERROR(VLOOKUP(A51,CFR20212022_BenchMarkDataReport!$B$4:$CL$90,51,0),0)</f>
        <v>20872.72</v>
      </c>
      <c r="AH51" s="258">
        <f>IFERROR(VLOOKUP(A51,CFR20212022_BenchMarkDataReport!$B$4:$CL$90,52,0),0)</f>
        <v>5173.83</v>
      </c>
      <c r="AI51" s="258">
        <f>IFERROR(VLOOKUP(A51,CFR20212022_BenchMarkDataReport!$B$4:$CL$90,53,0),0)</f>
        <v>55362.93</v>
      </c>
      <c r="AJ51" s="258">
        <f>IFERROR(VLOOKUP(A51,CFR20212022_BenchMarkDataReport!$B$4:$CL$90,54,0),0)</f>
        <v>8515.3700000000008</v>
      </c>
      <c r="AK51" s="258">
        <f>IFERROR(VLOOKUP(A51,CFR20212022_BenchMarkDataReport!$B$4:$CL$90,55,0),0)</f>
        <v>32795.160000000003</v>
      </c>
      <c r="AL51" s="258">
        <f>IFERROR(VLOOKUP(A51,CFR20212022_BenchMarkDataReport!$B$4:$CL$90,56,0),0)</f>
        <v>16000</v>
      </c>
      <c r="AM51" s="258">
        <f>IFERROR(VLOOKUP(A51,CFR20212022_BenchMarkDataReport!$B$4:$CL$90,57,0),0)</f>
        <v>11889.91</v>
      </c>
      <c r="AN51" s="258">
        <f>IFERROR(VLOOKUP(A51,CFR20212022_BenchMarkDataReport!$B$4:$CL$90,58,0),0)</f>
        <v>37851.1</v>
      </c>
      <c r="AO51" s="258">
        <f>IFERROR(VLOOKUP(A51,CFR20212022_BenchMarkDataReport!$B$4:$CL$90,59,0),0)</f>
        <v>8890.4</v>
      </c>
      <c r="AP51" s="258">
        <f>IFERROR(VLOOKUP(A51,CFR20212022_BenchMarkDataReport!$B$4:$CL$90,60,0),0)</f>
        <v>0</v>
      </c>
      <c r="AQ51" s="258">
        <f>IFERROR(VLOOKUP(A51,CFR20212022_BenchMarkDataReport!$B$4:$CL$90,61,0),0)</f>
        <v>29797.3</v>
      </c>
      <c r="AR51" s="258">
        <f>IFERROR(VLOOKUP(A51,CFR20212022_BenchMarkDataReport!$B$4:$CL$90,62,0),0)</f>
        <v>9763.3700000000008</v>
      </c>
      <c r="AS51" s="258">
        <f>IFERROR(VLOOKUP(A51,CFR20212022_BenchMarkDataReport!$B$4:$CL$90,63,0),0)</f>
        <v>397.17</v>
      </c>
      <c r="AT51" s="258">
        <f>IFERROR(VLOOKUP(A51,CFR20212022_BenchMarkDataReport!$B$4:$CL$90,64,0),0)</f>
        <v>116562.41</v>
      </c>
      <c r="AU51" s="258">
        <f>IFERROR(VLOOKUP(A51,CFR20212022_BenchMarkDataReport!$B$4:$CL$90,65,0),0)</f>
        <v>165861.18</v>
      </c>
      <c r="AV51" s="258">
        <f>IFERROR(VLOOKUP(A51,CFR20212022_BenchMarkDataReport!$B$4:$CL$90,66,0),0)</f>
        <v>142536.65</v>
      </c>
      <c r="AW51" s="258">
        <f>IFERROR(VLOOKUP(A51,CFR20212022_BenchMarkDataReport!$B$4:$CL$90,67,0),0)</f>
        <v>42463.3</v>
      </c>
      <c r="AX51" s="258">
        <f>IFERROR(VLOOKUP(A51,CFR20212022_BenchMarkDataReport!$B$4:$CL$90,68,0),0)</f>
        <v>0</v>
      </c>
      <c r="AY51" s="258">
        <f>IFERROR(VLOOKUP(A51,CFR20212022_BenchMarkDataReport!$B$4:$CL$90,69,0),0)</f>
        <v>0</v>
      </c>
      <c r="AZ51" s="258">
        <f>IFERROR(VLOOKUP(A51,CFR20212022_BenchMarkDataReport!$B$4:$CL$90,70,0),0)</f>
        <v>0</v>
      </c>
      <c r="BA51" s="258">
        <f>IFERROR(VLOOKUP(A51,CFR20212022_BenchMarkDataReport!$B$4:$CL$90,71,0),0)</f>
        <v>0</v>
      </c>
      <c r="BB51" s="258">
        <f>IFERROR(VLOOKUP(A51,CFR20212022_BenchMarkDataReport!$B$4:$CL$90,72,0),0)</f>
        <v>0</v>
      </c>
      <c r="BC51" s="259">
        <f t="shared" si="84"/>
        <v>1990774.0300000003</v>
      </c>
      <c r="BD51" s="260">
        <f t="shared" si="81"/>
        <v>2095673.0199999998</v>
      </c>
      <c r="BE51" s="300">
        <f t="shared" si="82"/>
        <v>-104898.98999999953</v>
      </c>
      <c r="BF51" s="258">
        <f>IFERROR(VLOOKUP(A51,CFR20212022_BenchMarkDataReport!$B$4:$CL$90,16,0),0)</f>
        <v>15994.87</v>
      </c>
      <c r="BG51" s="300">
        <f t="shared" si="83"/>
        <v>-88904.11999999953</v>
      </c>
      <c r="BH51" s="261">
        <f>IFERROR(VLOOKUP(A51,'Pupil Nos BenchmarkData 21-22'!$A$6:$E$94,5,0),0)</f>
        <v>352</v>
      </c>
      <c r="BI51" s="260">
        <f t="shared" si="1"/>
        <v>1673892.75</v>
      </c>
      <c r="BJ51" s="227" t="s">
        <v>183</v>
      </c>
      <c r="BK51" s="262">
        <f t="shared" si="85"/>
        <v>0.82693983605964549</v>
      </c>
      <c r="BL51" s="263">
        <f t="shared" si="86"/>
        <v>4676.8475852272732</v>
      </c>
      <c r="BM51" s="264">
        <f t="shared" si="87"/>
        <v>0</v>
      </c>
      <c r="BN51" s="265">
        <f t="shared" si="88"/>
        <v>0</v>
      </c>
      <c r="BO51" s="262">
        <f t="shared" si="89"/>
        <v>1.3885252461325305E-2</v>
      </c>
      <c r="BP51" s="263">
        <f t="shared" si="90"/>
        <v>78.529545454545456</v>
      </c>
      <c r="BQ51" s="264">
        <f t="shared" si="91"/>
        <v>0</v>
      </c>
      <c r="BR51" s="265">
        <f t="shared" si="92"/>
        <v>0</v>
      </c>
      <c r="BS51" s="262">
        <f t="shared" si="93"/>
        <v>2.2797645195321337E-2</v>
      </c>
      <c r="BT51" s="263">
        <f t="shared" si="94"/>
        <v>128.93454545454546</v>
      </c>
      <c r="BU51" s="264">
        <f t="shared" si="95"/>
        <v>1.1874627478438622E-3</v>
      </c>
      <c r="BV51" s="265">
        <f t="shared" si="96"/>
        <v>6.7158238636363627</v>
      </c>
      <c r="BW51" s="262">
        <f t="shared" si="97"/>
        <v>3.3489486498877018E-3</v>
      </c>
      <c r="BX51" s="263">
        <f t="shared" si="98"/>
        <v>18.94034090909091</v>
      </c>
      <c r="BY51" s="264">
        <f t="shared" si="99"/>
        <v>2.6195981670506317E-2</v>
      </c>
      <c r="BZ51" s="266">
        <f t="shared" si="100"/>
        <v>148.15420454545455</v>
      </c>
      <c r="CA51" s="267">
        <f t="shared" si="101"/>
        <v>3.9295117788933579E-3</v>
      </c>
      <c r="CB51" s="268">
        <f t="shared" si="102"/>
        <v>22.223778409090912</v>
      </c>
      <c r="CC51" s="264">
        <f t="shared" si="103"/>
        <v>7.2638078365930853E-3</v>
      </c>
      <c r="CD51" s="265">
        <f t="shared" si="104"/>
        <v>41.081250000000004</v>
      </c>
      <c r="CE51" s="269">
        <f t="shared" si="105"/>
        <v>0.61073091451050254</v>
      </c>
      <c r="CF51" s="267">
        <f t="shared" si="106"/>
        <v>0.51351787525578674</v>
      </c>
      <c r="CG51" s="267">
        <f t="shared" si="107"/>
        <v>0.48781371914593818</v>
      </c>
      <c r="CH51" s="268">
        <f t="shared" si="108"/>
        <v>2904.2558238636366</v>
      </c>
      <c r="CI51" s="264">
        <f t="shared" si="109"/>
        <v>0.17617647845120304</v>
      </c>
      <c r="CJ51" s="270">
        <f t="shared" si="110"/>
        <v>0.14813360308904572</v>
      </c>
      <c r="CK51" s="270">
        <f t="shared" si="111"/>
        <v>0.14071877014478149</v>
      </c>
      <c r="CL51" s="271">
        <f t="shared" si="112"/>
        <v>837.78559659090922</v>
      </c>
      <c r="CM51" s="269">
        <f t="shared" si="113"/>
        <v>1.9341036037105724E-2</v>
      </c>
      <c r="CN51" s="267">
        <f t="shared" si="114"/>
        <v>1.6262428337986707E-2</v>
      </c>
      <c r="CO51" s="267">
        <f t="shared" si="115"/>
        <v>1.5448411890133511E-2</v>
      </c>
      <c r="CP51" s="268">
        <f t="shared" si="116"/>
        <v>91.97392045454545</v>
      </c>
      <c r="CQ51" s="264">
        <f t="shared" si="117"/>
        <v>4.7855742251108981E-2</v>
      </c>
      <c r="CR51" s="270">
        <f t="shared" si="118"/>
        <v>4.0238308714525474E-2</v>
      </c>
      <c r="CS51" s="270">
        <f t="shared" si="119"/>
        <v>3.8224178693678085E-2</v>
      </c>
      <c r="CT51" s="265">
        <f t="shared" si="120"/>
        <v>227.57210227272728</v>
      </c>
      <c r="CU51" s="269">
        <f t="shared" si="121"/>
        <v>0.79661987902152032</v>
      </c>
      <c r="CV51" s="267">
        <f t="shared" si="122"/>
        <v>0.66981798029583484</v>
      </c>
      <c r="CW51" s="267">
        <f t="shared" si="123"/>
        <v>0.63629021668657071</v>
      </c>
      <c r="CX51" s="268">
        <f t="shared" si="124"/>
        <v>3788.2279545454544</v>
      </c>
      <c r="CY51" s="264">
        <f t="shared" si="125"/>
        <v>1.2469568316130171E-2</v>
      </c>
      <c r="CZ51" s="270">
        <f t="shared" si="126"/>
        <v>9.9599125439902847E-3</v>
      </c>
      <c r="DA51" s="265">
        <f t="shared" si="127"/>
        <v>59.297500000000007</v>
      </c>
      <c r="DB51" s="269">
        <f t="shared" si="128"/>
        <v>4.0633104108960668E-3</v>
      </c>
      <c r="DC51" s="268">
        <f t="shared" si="129"/>
        <v>24.191392045454549</v>
      </c>
      <c r="DD51" s="264">
        <f t="shared" si="130"/>
        <v>1.959215128926271E-2</v>
      </c>
      <c r="DE51" s="270">
        <f t="shared" si="131"/>
        <v>1.5648987073374646E-2</v>
      </c>
      <c r="DF51" s="265">
        <f t="shared" si="132"/>
        <v>93.168068181818185</v>
      </c>
      <c r="DG51" s="269">
        <f t="shared" si="133"/>
        <v>7.1031492310364569E-3</v>
      </c>
      <c r="DH51" s="267">
        <f t="shared" si="134"/>
        <v>5.6735520696830849E-3</v>
      </c>
      <c r="DI51" s="272">
        <f t="shared" si="135"/>
        <v>33.778153409090912</v>
      </c>
      <c r="DJ51" s="264">
        <f t="shared" si="136"/>
        <v>2.2612619595849256E-2</v>
      </c>
      <c r="DK51" s="270">
        <f t="shared" si="137"/>
        <v>1.9013257873370989E-2</v>
      </c>
      <c r="DL51" s="270">
        <f t="shared" si="138"/>
        <v>1.8061548552073262E-2</v>
      </c>
      <c r="DM51" s="265">
        <f t="shared" si="139"/>
        <v>107.53153409090909</v>
      </c>
      <c r="DN51" s="269">
        <f t="shared" si="140"/>
        <v>1.7801200226239107E-2</v>
      </c>
      <c r="DO51" s="267">
        <f t="shared" si="141"/>
        <v>1.4218487195106421E-2</v>
      </c>
      <c r="DP51" s="268">
        <f t="shared" si="142"/>
        <v>84.651420454545459</v>
      </c>
      <c r="DQ51" s="264">
        <f t="shared" si="143"/>
        <v>8.515279727449683E-2</v>
      </c>
      <c r="DR51" s="270">
        <f t="shared" si="144"/>
        <v>6.8014737337220674E-2</v>
      </c>
      <c r="DS51" s="265">
        <f t="shared" si="145"/>
        <v>404.93366477272724</v>
      </c>
      <c r="DT51" s="269">
        <f t="shared" si="146"/>
        <v>5.562051373835028E-2</v>
      </c>
      <c r="DU51" s="268">
        <f t="shared" si="147"/>
        <v>331.14321022727273</v>
      </c>
      <c r="DV51" s="264">
        <f t="shared" si="2"/>
        <v>2.6417732857962738E-2</v>
      </c>
      <c r="DW51" s="265">
        <f t="shared" si="3"/>
        <v>157.28105113636363</v>
      </c>
      <c r="DX51" s="264">
        <f t="shared" si="148"/>
        <v>1.9117114880866769E-5</v>
      </c>
      <c r="DY51" s="270">
        <f t="shared" si="149"/>
        <v>1.6074149811970371E-5</v>
      </c>
      <c r="DZ51" s="270">
        <f t="shared" si="150"/>
        <v>1.5269557652653278E-5</v>
      </c>
      <c r="EA51" s="265">
        <f t="shared" si="151"/>
        <v>9.0909090909090912E-2</v>
      </c>
      <c r="EB51" s="273">
        <f>IFERROR(VLOOKUP(A51,'BARNET SCHS PUPIL PREMIUM Nos'!$E$31:$V$117,17,0),0)</f>
        <v>32</v>
      </c>
      <c r="EC51" s="258">
        <f>IFERROR(VLOOKUP(A51,CFR20212022_BenchMarkDataReport!$B$4:$CL$90,36,0),0)</f>
        <v>0</v>
      </c>
      <c r="ED51" s="258">
        <f>IFERROR(VLOOKUP(A51,CFR20212022_BenchMarkDataReport!$B$4:$CL$90,37,0),0)</f>
        <v>0</v>
      </c>
      <c r="EE51" s="258">
        <f>IFERROR(VLOOKUP(A51,CFR20212022_BenchMarkDataReport!$B$4:$CL$90,38,0),0)</f>
        <v>15982.5</v>
      </c>
      <c r="EF51" s="258">
        <f>IFERROR(VLOOKUP(A51,CFR20212022_BenchMarkDataReport!$B$4:$CL$90,39,0),0)</f>
        <v>152558</v>
      </c>
      <c r="EG51" s="227"/>
    </row>
    <row r="52" spans="1:137" s="5" customFormat="1">
      <c r="A52" s="147">
        <v>2043</v>
      </c>
      <c r="B52" s="298">
        <v>10080</v>
      </c>
      <c r="C52" s="147" t="s">
        <v>77</v>
      </c>
      <c r="D52" s="258">
        <f>IFERROR(VLOOKUP(A52,CFR20212022_BenchMarkDataReport!$B$4:$CL$90,19,0),0)</f>
        <v>1943889.57</v>
      </c>
      <c r="E52" s="258">
        <f>IFERROR(VLOOKUP(A52,CFR20212022_BenchMarkDataReport!$B$4:$CL$90,20,0),0)</f>
        <v>0</v>
      </c>
      <c r="F52" s="258">
        <f>IFERROR(VLOOKUP(A52,CFR20212022_BenchMarkDataReport!$B$4:$CL$90,21,0),0)</f>
        <v>128084.37</v>
      </c>
      <c r="G52" s="258">
        <f>IFERROR(VLOOKUP(A52,CFR20212022_BenchMarkDataReport!$B$4:$CL$90,22,0),0)</f>
        <v>0</v>
      </c>
      <c r="H52" s="258">
        <f>IFERROR(VLOOKUP(A52,CFR20212022_BenchMarkDataReport!$B$4:$CL$90,23,0),0)</f>
        <v>129085.05</v>
      </c>
      <c r="I52" s="258">
        <f>IFERROR(VLOOKUP(A52,CFR20212022_BenchMarkDataReport!$B$4:$CL$90,24,0),0)</f>
        <v>2723.6</v>
      </c>
      <c r="J52" s="258">
        <f>IFERROR(VLOOKUP(A52,CFR20212022_BenchMarkDataReport!$B$4:$CL$90,25,0),0)</f>
        <v>250</v>
      </c>
      <c r="K52" s="258">
        <f>IFERROR(VLOOKUP(A52,CFR20212022_BenchMarkDataReport!$B$4:$CL$90,26,0),0)</f>
        <v>92484.25</v>
      </c>
      <c r="L52" s="258">
        <f>IFERROR(VLOOKUP(A52,CFR20212022_BenchMarkDataReport!$B$4:$CL$90,27,0),0)</f>
        <v>6550.25</v>
      </c>
      <c r="M52" s="258">
        <f>IFERROR(VLOOKUP(A52,CFR20212022_BenchMarkDataReport!$B$4:$CL$90,28,0),0)</f>
        <v>74708.899999999994</v>
      </c>
      <c r="N52" s="258">
        <f>IFERROR(VLOOKUP(A52,CFR20212022_BenchMarkDataReport!$B$4:$CL$90,29,0),0)</f>
        <v>0</v>
      </c>
      <c r="O52" s="258">
        <f>IFERROR(VLOOKUP(A52,CFR20212022_BenchMarkDataReport!$B$4:$CL$90,30,0),0)</f>
        <v>0</v>
      </c>
      <c r="P52" s="258">
        <f>IFERROR(VLOOKUP(A52,CFR20212022_BenchMarkDataReport!$B$4:$CL$90,31,0),0)</f>
        <v>23746.94</v>
      </c>
      <c r="Q52" s="258">
        <f>IFERROR(VLOOKUP(A52,CFR20212022_BenchMarkDataReport!$B$4:$CL$90,32,0),0)</f>
        <v>7575.42</v>
      </c>
      <c r="R52" s="258">
        <f>IFERROR(VLOOKUP(A52,CFR20212022_BenchMarkDataReport!$B$4:$CL$90,33,0),0)</f>
        <v>0</v>
      </c>
      <c r="S52" s="258">
        <f>IFERROR(VLOOKUP(A52,CFR20212022_BenchMarkDataReport!$B$4:$CL$90,34,0),0)</f>
        <v>0</v>
      </c>
      <c r="T52" s="258">
        <f>IFERROR(VLOOKUP(A52,CFR20212022_BenchMarkDataReport!$B$4:$CL$90,35,0),0)</f>
        <v>0</v>
      </c>
      <c r="U52" s="258">
        <f t="shared" si="0"/>
        <v>48751</v>
      </c>
      <c r="V52" s="258">
        <f>IFERROR(VLOOKUP(A52,CFR20212022_BenchMarkDataReport!$B$4:$CL$90,40,0),0)</f>
        <v>1275581.24</v>
      </c>
      <c r="W52" s="258">
        <f>IFERROR(VLOOKUP(A52,CFR20212022_BenchMarkDataReport!$B$4:$CL$90,41,0),0)</f>
        <v>0</v>
      </c>
      <c r="X52" s="258">
        <f>IFERROR(VLOOKUP(A52,CFR20212022_BenchMarkDataReport!$B$4:$CL$90,42,0),0)</f>
        <v>452297.6</v>
      </c>
      <c r="Y52" s="258">
        <f>IFERROR(VLOOKUP(A52,CFR20212022_BenchMarkDataReport!$B$4:$CL$90,43,0),0)</f>
        <v>37578.910000000003</v>
      </c>
      <c r="Z52" s="258">
        <f>IFERROR(VLOOKUP(A52,CFR20212022_BenchMarkDataReport!$B$4:$CL$90,44,0),0)</f>
        <v>65889.279999999999</v>
      </c>
      <c r="AA52" s="258">
        <f>IFERROR(VLOOKUP(A52,CFR20212022_BenchMarkDataReport!$B$4:$CL$90,45,0),0)</f>
        <v>0</v>
      </c>
      <c r="AB52" s="258">
        <f>IFERROR(VLOOKUP(A52,CFR20212022_BenchMarkDataReport!$B$4:$CL$90,46,0),0)</f>
        <v>35428.47</v>
      </c>
      <c r="AC52" s="258">
        <f>IFERROR(VLOOKUP(A52,CFR20212022_BenchMarkDataReport!$B$4:$CL$90,47,0),0)</f>
        <v>16614.11</v>
      </c>
      <c r="AD52" s="258">
        <f>IFERROR(VLOOKUP(A52,CFR20212022_BenchMarkDataReport!$B$4:$CL$90,48,0),0)</f>
        <v>11387</v>
      </c>
      <c r="AE52" s="258">
        <f>IFERROR(VLOOKUP(A52,CFR20212022_BenchMarkDataReport!$B$4:$CL$90,49,0),0)</f>
        <v>4745.53</v>
      </c>
      <c r="AF52" s="258">
        <f>IFERROR(VLOOKUP(A52,CFR20212022_BenchMarkDataReport!$B$4:$CL$90,50,0),0)</f>
        <v>4012.46</v>
      </c>
      <c r="AG52" s="258">
        <f>IFERROR(VLOOKUP(A52,CFR20212022_BenchMarkDataReport!$B$4:$CL$90,51,0),0)</f>
        <v>41949.18</v>
      </c>
      <c r="AH52" s="258">
        <f>IFERROR(VLOOKUP(A52,CFR20212022_BenchMarkDataReport!$B$4:$CL$90,52,0),0)</f>
        <v>6325.7</v>
      </c>
      <c r="AI52" s="258">
        <f>IFERROR(VLOOKUP(A52,CFR20212022_BenchMarkDataReport!$B$4:$CL$90,53,0),0)</f>
        <v>79647.56</v>
      </c>
      <c r="AJ52" s="258">
        <f>IFERROR(VLOOKUP(A52,CFR20212022_BenchMarkDataReport!$B$4:$CL$90,54,0),0)</f>
        <v>13893.48</v>
      </c>
      <c r="AK52" s="258">
        <f>IFERROR(VLOOKUP(A52,CFR20212022_BenchMarkDataReport!$B$4:$CL$90,55,0),0)</f>
        <v>47721.34</v>
      </c>
      <c r="AL52" s="258">
        <f>IFERROR(VLOOKUP(A52,CFR20212022_BenchMarkDataReport!$B$4:$CL$90,56,0),0)</f>
        <v>16000</v>
      </c>
      <c r="AM52" s="258">
        <f>IFERROR(VLOOKUP(A52,CFR20212022_BenchMarkDataReport!$B$4:$CL$90,57,0),0)</f>
        <v>9885.7199999999993</v>
      </c>
      <c r="AN52" s="258">
        <f>IFERROR(VLOOKUP(A52,CFR20212022_BenchMarkDataReport!$B$4:$CL$90,58,0),0)</f>
        <v>71319.360000000001</v>
      </c>
      <c r="AO52" s="258">
        <f>IFERROR(VLOOKUP(A52,CFR20212022_BenchMarkDataReport!$B$4:$CL$90,59,0),0)</f>
        <v>15273.95</v>
      </c>
      <c r="AP52" s="258">
        <f>IFERROR(VLOOKUP(A52,CFR20212022_BenchMarkDataReport!$B$4:$CL$90,60,0),0)</f>
        <v>0</v>
      </c>
      <c r="AQ52" s="258">
        <f>IFERROR(VLOOKUP(A52,CFR20212022_BenchMarkDataReport!$B$4:$CL$90,61,0),0)</f>
        <v>19568.939999999999</v>
      </c>
      <c r="AR52" s="258">
        <f>IFERROR(VLOOKUP(A52,CFR20212022_BenchMarkDataReport!$B$4:$CL$90,62,0),0)</f>
        <v>12248.89</v>
      </c>
      <c r="AS52" s="258">
        <f>IFERROR(VLOOKUP(A52,CFR20212022_BenchMarkDataReport!$B$4:$CL$90,63,0),0)</f>
        <v>1156.17</v>
      </c>
      <c r="AT52" s="258">
        <f>IFERROR(VLOOKUP(A52,CFR20212022_BenchMarkDataReport!$B$4:$CL$90,64,0),0)</f>
        <v>90970.77</v>
      </c>
      <c r="AU52" s="258">
        <f>IFERROR(VLOOKUP(A52,CFR20212022_BenchMarkDataReport!$B$4:$CL$90,65,0),0)</f>
        <v>57608.7</v>
      </c>
      <c r="AV52" s="258">
        <f>IFERROR(VLOOKUP(A52,CFR20212022_BenchMarkDataReport!$B$4:$CL$90,66,0),0)</f>
        <v>126933.15</v>
      </c>
      <c r="AW52" s="258">
        <f>IFERROR(VLOOKUP(A52,CFR20212022_BenchMarkDataReport!$B$4:$CL$90,67,0),0)</f>
        <v>45477.82</v>
      </c>
      <c r="AX52" s="258">
        <f>IFERROR(VLOOKUP(A52,CFR20212022_BenchMarkDataReport!$B$4:$CL$90,68,0),0)</f>
        <v>0</v>
      </c>
      <c r="AY52" s="258">
        <f>IFERROR(VLOOKUP(A52,CFR20212022_BenchMarkDataReport!$B$4:$CL$90,69,0),0)</f>
        <v>0</v>
      </c>
      <c r="AZ52" s="258">
        <f>IFERROR(VLOOKUP(A52,CFR20212022_BenchMarkDataReport!$B$4:$CL$90,70,0),0)</f>
        <v>0</v>
      </c>
      <c r="BA52" s="258">
        <f>IFERROR(VLOOKUP(A52,CFR20212022_BenchMarkDataReport!$B$4:$CL$90,71,0),0)</f>
        <v>0</v>
      </c>
      <c r="BB52" s="258">
        <f>IFERROR(VLOOKUP(A52,CFR20212022_BenchMarkDataReport!$B$4:$CL$90,72,0),0)</f>
        <v>0</v>
      </c>
      <c r="BC52" s="259">
        <f t="shared" si="84"/>
        <v>2457849.3499999996</v>
      </c>
      <c r="BD52" s="260">
        <f t="shared" si="81"/>
        <v>2559515.33</v>
      </c>
      <c r="BE52" s="300">
        <f t="shared" si="82"/>
        <v>-101665.98000000045</v>
      </c>
      <c r="BF52" s="258">
        <f>IFERROR(VLOOKUP(A52,CFR20212022_BenchMarkDataReport!$B$4:$CL$90,16,0),0)</f>
        <v>-70477.63</v>
      </c>
      <c r="BG52" s="300">
        <f t="shared" si="83"/>
        <v>-172143.61000000045</v>
      </c>
      <c r="BH52" s="261">
        <f>IFERROR(VLOOKUP(A52,'Pupil Nos BenchmarkData 21-22'!$A$6:$E$94,5,0),0)</f>
        <v>442</v>
      </c>
      <c r="BI52" s="260">
        <f t="shared" si="1"/>
        <v>2071973.94</v>
      </c>
      <c r="BJ52" s="227" t="s">
        <v>183</v>
      </c>
      <c r="BK52" s="262">
        <f t="shared" si="85"/>
        <v>0.79089044656052676</v>
      </c>
      <c r="BL52" s="263">
        <f t="shared" si="86"/>
        <v>4397.9402036199099</v>
      </c>
      <c r="BM52" s="264">
        <f t="shared" si="87"/>
        <v>0</v>
      </c>
      <c r="BN52" s="265">
        <f t="shared" si="88"/>
        <v>0</v>
      </c>
      <c r="BO52" s="262">
        <f t="shared" si="89"/>
        <v>5.2112376212154747E-2</v>
      </c>
      <c r="BP52" s="263">
        <f t="shared" si="90"/>
        <v>289.78364253393664</v>
      </c>
      <c r="BQ52" s="264">
        <f t="shared" si="91"/>
        <v>0</v>
      </c>
      <c r="BR52" s="265">
        <f t="shared" si="92"/>
        <v>0</v>
      </c>
      <c r="BS52" s="262">
        <f t="shared" si="93"/>
        <v>5.2519512638152549E-2</v>
      </c>
      <c r="BT52" s="263">
        <f t="shared" si="94"/>
        <v>292.04762443438915</v>
      </c>
      <c r="BU52" s="264">
        <f t="shared" si="95"/>
        <v>1.1081232460402833E-3</v>
      </c>
      <c r="BV52" s="265">
        <f t="shared" si="96"/>
        <v>6.1619909502262438</v>
      </c>
      <c r="BW52" s="262">
        <f t="shared" si="97"/>
        <v>1.0171494034001719E-4</v>
      </c>
      <c r="BX52" s="263">
        <f t="shared" si="98"/>
        <v>0.56561085972850678</v>
      </c>
      <c r="BY52" s="264">
        <f t="shared" si="99"/>
        <v>4.0293153036413731E-2</v>
      </c>
      <c r="BZ52" s="266">
        <f t="shared" si="100"/>
        <v>224.05995475113122</v>
      </c>
      <c r="CA52" s="267">
        <f t="shared" si="101"/>
        <v>9.6616743414318709E-3</v>
      </c>
      <c r="CB52" s="268">
        <f t="shared" si="102"/>
        <v>53.726108597285062</v>
      </c>
      <c r="CC52" s="264">
        <f t="shared" si="103"/>
        <v>3.0821335734022921E-3</v>
      </c>
      <c r="CD52" s="265">
        <f t="shared" si="104"/>
        <v>17.138959276018099</v>
      </c>
      <c r="CE52" s="269">
        <f t="shared" si="105"/>
        <v>0.64343953090452477</v>
      </c>
      <c r="CF52" s="267">
        <f t="shared" si="106"/>
        <v>0.54242134083604443</v>
      </c>
      <c r="CG52" s="267">
        <f t="shared" si="107"/>
        <v>0.52087593474191063</v>
      </c>
      <c r="CH52" s="268">
        <f t="shared" si="108"/>
        <v>3016.2668325791856</v>
      </c>
      <c r="CI52" s="264">
        <f t="shared" si="109"/>
        <v>0.21829309301061961</v>
      </c>
      <c r="CJ52" s="270">
        <f t="shared" si="110"/>
        <v>0.18402169359973183</v>
      </c>
      <c r="CK52" s="270">
        <f t="shared" si="111"/>
        <v>0.17671220590032566</v>
      </c>
      <c r="CL52" s="271">
        <f t="shared" si="112"/>
        <v>1023.2977375565611</v>
      </c>
      <c r="CM52" s="269">
        <f t="shared" si="113"/>
        <v>1.8136767685408246E-2</v>
      </c>
      <c r="CN52" s="267">
        <f t="shared" si="114"/>
        <v>1.5289346354771503E-2</v>
      </c>
      <c r="CO52" s="267">
        <f t="shared" si="115"/>
        <v>1.4682041384764827E-2</v>
      </c>
      <c r="CP52" s="268">
        <f t="shared" si="116"/>
        <v>85.020158371040736</v>
      </c>
      <c r="CQ52" s="264">
        <f t="shared" si="117"/>
        <v>3.1800245518531958E-2</v>
      </c>
      <c r="CR52" s="270">
        <f t="shared" si="118"/>
        <v>2.6807696736986752E-2</v>
      </c>
      <c r="CS52" s="270">
        <f t="shared" si="119"/>
        <v>2.5742873749460996E-2</v>
      </c>
      <c r="CT52" s="265">
        <f t="shared" si="120"/>
        <v>149.07076923076923</v>
      </c>
      <c r="CU52" s="269">
        <f t="shared" si="121"/>
        <v>0.90096475827297318</v>
      </c>
      <c r="CV52" s="267">
        <f t="shared" si="122"/>
        <v>0.759515834442823</v>
      </c>
      <c r="CW52" s="267">
        <f t="shared" si="123"/>
        <v>0.7293472627882247</v>
      </c>
      <c r="CX52" s="268">
        <f t="shared" si="124"/>
        <v>4223.4739819004517</v>
      </c>
      <c r="CY52" s="264">
        <f t="shared" si="125"/>
        <v>2.0245997881614283E-2</v>
      </c>
      <c r="CZ52" s="270">
        <f t="shared" si="126"/>
        <v>1.6389501367042016E-2</v>
      </c>
      <c r="DA52" s="265">
        <f t="shared" si="127"/>
        <v>94.907647058823528</v>
      </c>
      <c r="DB52" s="269">
        <f t="shared" si="128"/>
        <v>5.4281683087242924E-3</v>
      </c>
      <c r="DC52" s="268">
        <f t="shared" si="129"/>
        <v>31.433212669683257</v>
      </c>
      <c r="DD52" s="264">
        <f t="shared" si="130"/>
        <v>2.3031824425359327E-2</v>
      </c>
      <c r="DE52" s="270">
        <f t="shared" si="131"/>
        <v>1.8644678326658039E-2</v>
      </c>
      <c r="DF52" s="265">
        <f t="shared" si="132"/>
        <v>107.96683257918551</v>
      </c>
      <c r="DG52" s="269">
        <f t="shared" si="133"/>
        <v>4.7711603940346851E-3</v>
      </c>
      <c r="DH52" s="267">
        <f t="shared" si="134"/>
        <v>3.8623406096184622E-3</v>
      </c>
      <c r="DI52" s="272">
        <f t="shared" si="135"/>
        <v>22.365882352941174</v>
      </c>
      <c r="DJ52" s="264">
        <f t="shared" si="136"/>
        <v>3.4420973460699028E-2</v>
      </c>
      <c r="DK52" s="270">
        <f t="shared" si="137"/>
        <v>2.9016977789952835E-2</v>
      </c>
      <c r="DL52" s="270">
        <f t="shared" si="138"/>
        <v>2.7864400405837771E-2</v>
      </c>
      <c r="DM52" s="265">
        <f t="shared" si="139"/>
        <v>161.35601809954753</v>
      </c>
      <c r="DN52" s="269">
        <f t="shared" si="140"/>
        <v>9.4445878986296507E-3</v>
      </c>
      <c r="DO52" s="267">
        <f t="shared" si="141"/>
        <v>7.6455646780595752E-3</v>
      </c>
      <c r="DP52" s="268">
        <f t="shared" si="142"/>
        <v>44.273619909502258</v>
      </c>
      <c r="DQ52" s="264">
        <f t="shared" si="143"/>
        <v>6.1261943284865832E-2</v>
      </c>
      <c r="DR52" s="270">
        <f t="shared" si="144"/>
        <v>4.9592650808620083E-2</v>
      </c>
      <c r="DS52" s="265">
        <f t="shared" si="145"/>
        <v>287.17907239819004</v>
      </c>
      <c r="DT52" s="269">
        <f t="shared" si="146"/>
        <v>3.554218602785239E-2</v>
      </c>
      <c r="DU52" s="268">
        <f t="shared" si="147"/>
        <v>205.81622171945702</v>
      </c>
      <c r="DV52" s="264">
        <f t="shared" si="2"/>
        <v>3.1118219557606634E-2</v>
      </c>
      <c r="DW52" s="265">
        <f t="shared" si="3"/>
        <v>180.1980995475113</v>
      </c>
      <c r="DX52" s="264">
        <f t="shared" si="148"/>
        <v>4.2954208198197705E-5</v>
      </c>
      <c r="DY52" s="270">
        <f t="shared" si="149"/>
        <v>3.6210518761046124E-5</v>
      </c>
      <c r="DZ52" s="270">
        <f t="shared" si="150"/>
        <v>3.4772208221155682E-5</v>
      </c>
      <c r="EA52" s="265">
        <f t="shared" si="151"/>
        <v>0.20135746606334842</v>
      </c>
      <c r="EB52" s="273">
        <f>IFERROR(VLOOKUP(A52,'BARNET SCHS PUPIL PREMIUM Nos'!$E$31:$V$117,17,0),0)</f>
        <v>89</v>
      </c>
      <c r="EC52" s="258">
        <f>IFERROR(VLOOKUP(A52,CFR20212022_BenchMarkDataReport!$B$4:$CL$90,36,0),0)</f>
        <v>0</v>
      </c>
      <c r="ED52" s="258">
        <f>IFERROR(VLOOKUP(A52,CFR20212022_BenchMarkDataReport!$B$4:$CL$90,37,0),0)</f>
        <v>0</v>
      </c>
      <c r="EE52" s="258">
        <f>IFERROR(VLOOKUP(A52,CFR20212022_BenchMarkDataReport!$B$4:$CL$90,38,0),0)</f>
        <v>21578.75</v>
      </c>
      <c r="EF52" s="258">
        <f>IFERROR(VLOOKUP(A52,CFR20212022_BenchMarkDataReport!$B$4:$CL$90,39,0),0)</f>
        <v>27172.25</v>
      </c>
      <c r="EG52" s="227"/>
    </row>
    <row r="53" spans="1:137" s="5" customFormat="1">
      <c r="A53" s="301">
        <v>2053</v>
      </c>
      <c r="B53" s="298">
        <v>10113</v>
      </c>
      <c r="C53" s="303" t="s">
        <v>395</v>
      </c>
      <c r="D53" s="258">
        <f>IFERROR(VLOOKUP(A53,CFR20212022_BenchMarkDataReport!$B$4:$CL$90,19,0),0)</f>
        <v>1036791.52</v>
      </c>
      <c r="E53" s="258">
        <f>IFERROR(VLOOKUP(A53,CFR20212022_BenchMarkDataReport!$B$4:$CL$90,20,0),0)</f>
        <v>0</v>
      </c>
      <c r="F53" s="258">
        <f>IFERROR(VLOOKUP(A53,CFR20212022_BenchMarkDataReport!$B$4:$CL$90,21,0),0)</f>
        <v>28560.19</v>
      </c>
      <c r="G53" s="258">
        <f>IFERROR(VLOOKUP(A53,CFR20212022_BenchMarkDataReport!$B$4:$CL$90,22,0),0)</f>
        <v>0</v>
      </c>
      <c r="H53" s="258">
        <f>IFERROR(VLOOKUP(A53,CFR20212022_BenchMarkDataReport!$B$4:$CL$90,23,0),0)</f>
        <v>2690.01</v>
      </c>
      <c r="I53" s="258">
        <f>IFERROR(VLOOKUP(A53,CFR20212022_BenchMarkDataReport!$B$4:$CL$90,24,0),0)</f>
        <v>50212.58</v>
      </c>
      <c r="J53" s="258">
        <f>IFERROR(VLOOKUP(A53,CFR20212022_BenchMarkDataReport!$B$4:$CL$90,25,0),0)</f>
        <v>0</v>
      </c>
      <c r="K53" s="258">
        <f>IFERROR(VLOOKUP(A53,CFR20212022_BenchMarkDataReport!$B$4:$CL$90,26,0),0)</f>
        <v>7863.46</v>
      </c>
      <c r="L53" s="258">
        <f>IFERROR(VLOOKUP(A53,CFR20212022_BenchMarkDataReport!$B$4:$CL$90,27,0),0)</f>
        <v>0</v>
      </c>
      <c r="M53" s="258">
        <f>IFERROR(VLOOKUP(A53,CFR20212022_BenchMarkDataReport!$B$4:$CL$90,28,0),0)</f>
        <v>6481.44</v>
      </c>
      <c r="N53" s="258">
        <f>IFERROR(VLOOKUP(A53,CFR20212022_BenchMarkDataReport!$B$4:$CL$90,29,0),0)</f>
        <v>0</v>
      </c>
      <c r="O53" s="258">
        <f>IFERROR(VLOOKUP(A53,CFR20212022_BenchMarkDataReport!$B$4:$CL$90,30,0),0)</f>
        <v>0</v>
      </c>
      <c r="P53" s="258">
        <f>IFERROR(VLOOKUP(A53,CFR20212022_BenchMarkDataReport!$B$4:$CL$90,31,0),0)</f>
        <v>6917.4</v>
      </c>
      <c r="Q53" s="258">
        <f>IFERROR(VLOOKUP(A53,CFR20212022_BenchMarkDataReport!$B$4:$CL$90,32,0),0)</f>
        <v>445164.55</v>
      </c>
      <c r="R53" s="258">
        <f>IFERROR(VLOOKUP(A53,CFR20212022_BenchMarkDataReport!$B$4:$CL$90,33,0),0)</f>
        <v>0</v>
      </c>
      <c r="S53" s="258">
        <f>IFERROR(VLOOKUP(A53,CFR20212022_BenchMarkDataReport!$B$4:$CL$90,34,0),0)</f>
        <v>0</v>
      </c>
      <c r="T53" s="258">
        <f>IFERROR(VLOOKUP(A53,CFR20212022_BenchMarkDataReport!$B$4:$CL$90,35,0),0)</f>
        <v>0</v>
      </c>
      <c r="U53" s="258">
        <f t="shared" si="0"/>
        <v>67105.45</v>
      </c>
      <c r="V53" s="258">
        <f>IFERROR(VLOOKUP(A53,CFR20212022_BenchMarkDataReport!$B$4:$CL$90,40,0),0)</f>
        <v>607530.94999999995</v>
      </c>
      <c r="W53" s="258">
        <f>IFERROR(VLOOKUP(A53,CFR20212022_BenchMarkDataReport!$B$4:$CL$90,41,0),0)</f>
        <v>8962.2000000000007</v>
      </c>
      <c r="X53" s="258">
        <f>IFERROR(VLOOKUP(A53,CFR20212022_BenchMarkDataReport!$B$4:$CL$90,42,0),0)</f>
        <v>577822.25</v>
      </c>
      <c r="Y53" s="258">
        <f>IFERROR(VLOOKUP(A53,CFR20212022_BenchMarkDataReport!$B$4:$CL$90,43,0),0)</f>
        <v>0</v>
      </c>
      <c r="Z53" s="258">
        <f>IFERROR(VLOOKUP(A53,CFR20212022_BenchMarkDataReport!$B$4:$CL$90,44,0),0)</f>
        <v>114978.32</v>
      </c>
      <c r="AA53" s="258">
        <f>IFERROR(VLOOKUP(A53,CFR20212022_BenchMarkDataReport!$B$4:$CL$90,45,0),0)</f>
        <v>0</v>
      </c>
      <c r="AB53" s="258">
        <f>IFERROR(VLOOKUP(A53,CFR20212022_BenchMarkDataReport!$B$4:$CL$90,46,0),0)</f>
        <v>6876</v>
      </c>
      <c r="AC53" s="258">
        <f>IFERROR(VLOOKUP(A53,CFR20212022_BenchMarkDataReport!$B$4:$CL$90,47,0),0)</f>
        <v>4992.05</v>
      </c>
      <c r="AD53" s="258">
        <f>IFERROR(VLOOKUP(A53,CFR20212022_BenchMarkDataReport!$B$4:$CL$90,48,0),0)</f>
        <v>3802.64</v>
      </c>
      <c r="AE53" s="258">
        <f>IFERROR(VLOOKUP(A53,CFR20212022_BenchMarkDataReport!$B$4:$CL$90,49,0),0)</f>
        <v>323.08</v>
      </c>
      <c r="AF53" s="258">
        <f>IFERROR(VLOOKUP(A53,CFR20212022_BenchMarkDataReport!$B$4:$CL$90,50,0),0)</f>
        <v>0</v>
      </c>
      <c r="AG53" s="258">
        <f>IFERROR(VLOOKUP(A53,CFR20212022_BenchMarkDataReport!$B$4:$CL$90,51,0),0)</f>
        <v>15260.69</v>
      </c>
      <c r="AH53" s="258">
        <f>IFERROR(VLOOKUP(A53,CFR20212022_BenchMarkDataReport!$B$4:$CL$90,52,0),0)</f>
        <v>360</v>
      </c>
      <c r="AI53" s="258">
        <f>IFERROR(VLOOKUP(A53,CFR20212022_BenchMarkDataReport!$B$4:$CL$90,53,0),0)</f>
        <v>47566.63</v>
      </c>
      <c r="AJ53" s="258">
        <f>IFERROR(VLOOKUP(A53,CFR20212022_BenchMarkDataReport!$B$4:$CL$90,54,0),0)</f>
        <v>1413.66</v>
      </c>
      <c r="AK53" s="258">
        <f>IFERROR(VLOOKUP(A53,CFR20212022_BenchMarkDataReport!$B$4:$CL$90,55,0),0)</f>
        <v>16746.38</v>
      </c>
      <c r="AL53" s="258">
        <f>IFERROR(VLOOKUP(A53,CFR20212022_BenchMarkDataReport!$B$4:$CL$90,56,0),0)</f>
        <v>18044.310000000001</v>
      </c>
      <c r="AM53" s="258">
        <f>IFERROR(VLOOKUP(A53,CFR20212022_BenchMarkDataReport!$B$4:$CL$90,57,0),0)</f>
        <v>63684.49</v>
      </c>
      <c r="AN53" s="258">
        <f>IFERROR(VLOOKUP(A53,CFR20212022_BenchMarkDataReport!$B$4:$CL$90,58,0),0)</f>
        <v>65129.34</v>
      </c>
      <c r="AO53" s="258">
        <f>IFERROR(VLOOKUP(A53,CFR20212022_BenchMarkDataReport!$B$4:$CL$90,59,0),0)</f>
        <v>27240.01</v>
      </c>
      <c r="AP53" s="258">
        <f>IFERROR(VLOOKUP(A53,CFR20212022_BenchMarkDataReport!$B$4:$CL$90,60,0),0)</f>
        <v>0</v>
      </c>
      <c r="AQ53" s="258">
        <f>IFERROR(VLOOKUP(A53,CFR20212022_BenchMarkDataReport!$B$4:$CL$90,61,0),0)</f>
        <v>12730.87</v>
      </c>
      <c r="AR53" s="258">
        <f>IFERROR(VLOOKUP(A53,CFR20212022_BenchMarkDataReport!$B$4:$CL$90,62,0),0)</f>
        <v>9316.39</v>
      </c>
      <c r="AS53" s="258">
        <f>IFERROR(VLOOKUP(A53,CFR20212022_BenchMarkDataReport!$B$4:$CL$90,63,0),0)</f>
        <v>641.67999999999995</v>
      </c>
      <c r="AT53" s="258">
        <f>IFERROR(VLOOKUP(A53,CFR20212022_BenchMarkDataReport!$B$4:$CL$90,64,0),0)</f>
        <v>43179.71</v>
      </c>
      <c r="AU53" s="258">
        <f>IFERROR(VLOOKUP(A53,CFR20212022_BenchMarkDataReport!$B$4:$CL$90,65,0),0)</f>
        <v>5296.3</v>
      </c>
      <c r="AV53" s="258">
        <f>IFERROR(VLOOKUP(A53,CFR20212022_BenchMarkDataReport!$B$4:$CL$90,66,0),0)</f>
        <v>24264.76</v>
      </c>
      <c r="AW53" s="258">
        <f>IFERROR(VLOOKUP(A53,CFR20212022_BenchMarkDataReport!$B$4:$CL$90,67,0),0)</f>
        <v>24408.31</v>
      </c>
      <c r="AX53" s="258">
        <f>IFERROR(VLOOKUP(A53,CFR20212022_BenchMarkDataReport!$B$4:$CL$90,68,0),0)</f>
        <v>0</v>
      </c>
      <c r="AY53" s="258">
        <f>IFERROR(VLOOKUP(A53,CFR20212022_BenchMarkDataReport!$B$4:$CL$90,69,0),0)</f>
        <v>0</v>
      </c>
      <c r="AZ53" s="258">
        <f>IFERROR(VLOOKUP(A53,CFR20212022_BenchMarkDataReport!$B$4:$CL$90,70,0),0)</f>
        <v>0</v>
      </c>
      <c r="BA53" s="258">
        <f>IFERROR(VLOOKUP(A53,CFR20212022_BenchMarkDataReport!$B$4:$CL$90,71,0),0)</f>
        <v>0</v>
      </c>
      <c r="BB53" s="258">
        <f>IFERROR(VLOOKUP(A53,CFR20212022_BenchMarkDataReport!$B$4:$CL$90,72,0),0)</f>
        <v>0</v>
      </c>
      <c r="BC53" s="259">
        <f t="shared" si="84"/>
        <v>1651786.5999999999</v>
      </c>
      <c r="BD53" s="260">
        <f t="shared" si="81"/>
        <v>1700571.0199999998</v>
      </c>
      <c r="BE53" s="300">
        <f t="shared" si="82"/>
        <v>-48784.419999999925</v>
      </c>
      <c r="BF53" s="258">
        <f>IFERROR(VLOOKUP(A53,CFR20212022_BenchMarkDataReport!$B$4:$CL$90,16,0),0)</f>
        <v>58850.23</v>
      </c>
      <c r="BG53" s="300">
        <f t="shared" si="83"/>
        <v>10065.810000000078</v>
      </c>
      <c r="BH53" s="261">
        <f>IFERROR(VLOOKUP(A53,'Pupil Nos BenchmarkData 21-22'!$A$6:$E$94,5,0),0)</f>
        <v>229</v>
      </c>
      <c r="BI53" s="260">
        <f t="shared" si="1"/>
        <v>1065351.71</v>
      </c>
      <c r="BJ53" s="227" t="s">
        <v>183</v>
      </c>
      <c r="BK53" s="262">
        <f t="shared" si="85"/>
        <v>0.62767885391490652</v>
      </c>
      <c r="BL53" s="263">
        <f t="shared" si="86"/>
        <v>4527.4738864628825</v>
      </c>
      <c r="BM53" s="264">
        <f t="shared" si="87"/>
        <v>0</v>
      </c>
      <c r="BN53" s="265">
        <f t="shared" si="88"/>
        <v>0</v>
      </c>
      <c r="BO53" s="262">
        <f t="shared" si="89"/>
        <v>1.7290484133967426E-2</v>
      </c>
      <c r="BP53" s="263">
        <f t="shared" si="90"/>
        <v>124.71698689956331</v>
      </c>
      <c r="BQ53" s="264">
        <f t="shared" si="91"/>
        <v>0</v>
      </c>
      <c r="BR53" s="265">
        <f t="shared" si="92"/>
        <v>0</v>
      </c>
      <c r="BS53" s="262">
        <f t="shared" si="93"/>
        <v>1.6285457213419702E-3</v>
      </c>
      <c r="BT53" s="263">
        <f t="shared" si="94"/>
        <v>11.746768558951967</v>
      </c>
      <c r="BU53" s="264">
        <f t="shared" si="95"/>
        <v>3.0398951050940846E-2</v>
      </c>
      <c r="BV53" s="265">
        <f t="shared" si="96"/>
        <v>219.26890829694324</v>
      </c>
      <c r="BW53" s="262">
        <f t="shared" si="97"/>
        <v>0</v>
      </c>
      <c r="BX53" s="263">
        <f t="shared" si="98"/>
        <v>0</v>
      </c>
      <c r="BY53" s="264">
        <f t="shared" si="99"/>
        <v>4.7605786364897261E-3</v>
      </c>
      <c r="BZ53" s="266">
        <f t="shared" si="100"/>
        <v>34.338253275109167</v>
      </c>
      <c r="CA53" s="267">
        <f t="shared" si="101"/>
        <v>4.1878291057694745E-3</v>
      </c>
      <c r="CB53" s="268">
        <f t="shared" si="102"/>
        <v>30.206986899563319</v>
      </c>
      <c r="CC53" s="264">
        <f t="shared" si="103"/>
        <v>0.26950488035197767</v>
      </c>
      <c r="CD53" s="265">
        <f t="shared" si="104"/>
        <v>1943.95</v>
      </c>
      <c r="CE53" s="269">
        <f t="shared" si="105"/>
        <v>0.5836471131209805</v>
      </c>
      <c r="CF53" s="267">
        <f t="shared" si="106"/>
        <v>0.37643449220377501</v>
      </c>
      <c r="CG53" s="267">
        <f t="shared" si="107"/>
        <v>0.36563568512416494</v>
      </c>
      <c r="CH53" s="268">
        <f t="shared" si="108"/>
        <v>2715.2377729257641</v>
      </c>
      <c r="CI53" s="264">
        <f t="shared" si="109"/>
        <v>0.542376986469567</v>
      </c>
      <c r="CJ53" s="270">
        <f t="shared" si="110"/>
        <v>0.34981652593621965</v>
      </c>
      <c r="CK53" s="270">
        <f t="shared" si="111"/>
        <v>0.33978131063294259</v>
      </c>
      <c r="CL53" s="271">
        <f t="shared" si="112"/>
        <v>2523.2412663755458</v>
      </c>
      <c r="CM53" s="269">
        <f t="shared" si="113"/>
        <v>0</v>
      </c>
      <c r="CN53" s="267">
        <f t="shared" si="114"/>
        <v>0</v>
      </c>
      <c r="CO53" s="267">
        <f t="shared" si="115"/>
        <v>0</v>
      </c>
      <c r="CP53" s="268">
        <f t="shared" si="116"/>
        <v>0</v>
      </c>
      <c r="CQ53" s="264">
        <f t="shared" si="117"/>
        <v>0.1079252221785048</v>
      </c>
      <c r="CR53" s="270">
        <f t="shared" si="118"/>
        <v>6.9608459107247889E-2</v>
      </c>
      <c r="CS53" s="270">
        <f t="shared" si="119"/>
        <v>6.7611595545124609E-2</v>
      </c>
      <c r="CT53" s="265">
        <f t="shared" si="120"/>
        <v>502.08873362445416</v>
      </c>
      <c r="CU53" s="269">
        <f t="shared" si="121"/>
        <v>1.2354321184691204</v>
      </c>
      <c r="CV53" s="267">
        <f t="shared" si="122"/>
        <v>0.79681583565334657</v>
      </c>
      <c r="CW53" s="267">
        <f t="shared" si="123"/>
        <v>0.77395751457648632</v>
      </c>
      <c r="CX53" s="268">
        <f t="shared" si="124"/>
        <v>5747.4660262008729</v>
      </c>
      <c r="CY53" s="264">
        <f t="shared" si="125"/>
        <v>1.4324555784492992E-2</v>
      </c>
      <c r="CZ53" s="270">
        <f t="shared" si="126"/>
        <v>8.9738622030616534E-3</v>
      </c>
      <c r="DA53" s="265">
        <f t="shared" si="127"/>
        <v>66.640567685589517</v>
      </c>
      <c r="DB53" s="269">
        <f t="shared" si="128"/>
        <v>8.3128548197887095E-4</v>
      </c>
      <c r="DC53" s="268">
        <f t="shared" si="129"/>
        <v>6.1731877729257647</v>
      </c>
      <c r="DD53" s="264">
        <f t="shared" si="130"/>
        <v>1.5719109325876994E-2</v>
      </c>
      <c r="DE53" s="270">
        <f t="shared" si="131"/>
        <v>9.8475040460233188E-3</v>
      </c>
      <c r="DF53" s="265">
        <f t="shared" si="132"/>
        <v>73.128296943231447</v>
      </c>
      <c r="DG53" s="269">
        <f t="shared" si="133"/>
        <v>5.9777901891197978E-2</v>
      </c>
      <c r="DH53" s="267">
        <f t="shared" si="134"/>
        <v>3.7448885845414448E-2</v>
      </c>
      <c r="DI53" s="272">
        <f t="shared" si="135"/>
        <v>278.09820960698687</v>
      </c>
      <c r="DJ53" s="264">
        <f t="shared" si="136"/>
        <v>6.1134120674570462E-2</v>
      </c>
      <c r="DK53" s="270">
        <f t="shared" si="137"/>
        <v>3.9429633343677689E-2</v>
      </c>
      <c r="DL53" s="270">
        <f t="shared" si="138"/>
        <v>3.8298512225617018E-2</v>
      </c>
      <c r="DM53" s="265">
        <f t="shared" si="139"/>
        <v>284.40759825327507</v>
      </c>
      <c r="DN53" s="269">
        <f t="shared" si="140"/>
        <v>1.1949922152938584E-2</v>
      </c>
      <c r="DO53" s="267">
        <f t="shared" si="141"/>
        <v>7.4862324773710435E-3</v>
      </c>
      <c r="DP53" s="268">
        <f t="shared" si="142"/>
        <v>55.593318777292581</v>
      </c>
      <c r="DQ53" s="264">
        <f t="shared" si="143"/>
        <v>2.2776290470308626E-2</v>
      </c>
      <c r="DR53" s="270">
        <f t="shared" si="144"/>
        <v>1.4268595497999255E-2</v>
      </c>
      <c r="DS53" s="265">
        <f t="shared" si="145"/>
        <v>105.95965065502183</v>
      </c>
      <c r="DT53" s="269">
        <f t="shared" si="146"/>
        <v>2.5391300623245953E-2</v>
      </c>
      <c r="DU53" s="268">
        <f t="shared" si="147"/>
        <v>188.55768558951965</v>
      </c>
      <c r="DV53" s="264">
        <f t="shared" si="2"/>
        <v>2.7970975302166447E-2</v>
      </c>
      <c r="DW53" s="265">
        <f t="shared" si="3"/>
        <v>207.71454148471614</v>
      </c>
      <c r="DX53" s="264">
        <f t="shared" si="148"/>
        <v>1.8773143002699081E-6</v>
      </c>
      <c r="DY53" s="270">
        <f t="shared" si="149"/>
        <v>1.2108101615547674E-6</v>
      </c>
      <c r="DZ53" s="270">
        <f t="shared" si="150"/>
        <v>1.1760755513756786E-6</v>
      </c>
      <c r="EA53" s="265">
        <f t="shared" si="151"/>
        <v>8.7336244541484712E-3</v>
      </c>
      <c r="EB53" s="273">
        <f>IFERROR(VLOOKUP(A53,'BARNET SCHS PUPIL PREMIUM Nos'!$E$31:$V$117,17,0),0)</f>
        <v>2</v>
      </c>
      <c r="EC53" s="258">
        <f>IFERROR(VLOOKUP(A53,CFR20212022_BenchMarkDataReport!$B$4:$CL$90,36,0),0)</f>
        <v>0</v>
      </c>
      <c r="ED53" s="258">
        <f>IFERROR(VLOOKUP(A53,CFR20212022_BenchMarkDataReport!$B$4:$CL$90,37,0),0)</f>
        <v>0</v>
      </c>
      <c r="EE53" s="258">
        <f>IFERROR(VLOOKUP(A53,CFR20212022_BenchMarkDataReport!$B$4:$CL$90,38,0),0)</f>
        <v>9178.1200000000008</v>
      </c>
      <c r="EF53" s="258">
        <f>IFERROR(VLOOKUP(A53,CFR20212022_BenchMarkDataReport!$B$4:$CL$90,39,0),0)</f>
        <v>57927.33</v>
      </c>
      <c r="EG53" s="227"/>
    </row>
    <row r="54" spans="1:137" s="5" customFormat="1">
      <c r="A54" s="147">
        <v>2045</v>
      </c>
      <c r="B54" s="298">
        <v>10082</v>
      </c>
      <c r="C54" s="147" t="s">
        <v>78</v>
      </c>
      <c r="D54" s="258">
        <f>IFERROR(VLOOKUP(A54,CFR20212022_BenchMarkDataReport!$B$4:$CL$90,19,0),0)</f>
        <v>1364489.34</v>
      </c>
      <c r="E54" s="258">
        <f>IFERROR(VLOOKUP(A54,CFR20212022_BenchMarkDataReport!$B$4:$CL$90,20,0),0)</f>
        <v>0</v>
      </c>
      <c r="F54" s="258">
        <f>IFERROR(VLOOKUP(A54,CFR20212022_BenchMarkDataReport!$B$4:$CL$90,21,0),0)</f>
        <v>75307.210000000006</v>
      </c>
      <c r="G54" s="258">
        <f>IFERROR(VLOOKUP(A54,CFR20212022_BenchMarkDataReport!$B$4:$CL$90,22,0),0)</f>
        <v>0</v>
      </c>
      <c r="H54" s="258">
        <f>IFERROR(VLOOKUP(A54,CFR20212022_BenchMarkDataReport!$B$4:$CL$90,23,0),0)</f>
        <v>65845.119999999995</v>
      </c>
      <c r="I54" s="258">
        <f>IFERROR(VLOOKUP(A54,CFR20212022_BenchMarkDataReport!$B$4:$CL$90,24,0),0)</f>
        <v>7500</v>
      </c>
      <c r="J54" s="258">
        <f>IFERROR(VLOOKUP(A54,CFR20212022_BenchMarkDataReport!$B$4:$CL$90,25,0),0)</f>
        <v>0</v>
      </c>
      <c r="K54" s="258">
        <f>IFERROR(VLOOKUP(A54,CFR20212022_BenchMarkDataReport!$B$4:$CL$90,26,0),0)</f>
        <v>21516.240000000002</v>
      </c>
      <c r="L54" s="258">
        <f>IFERROR(VLOOKUP(A54,CFR20212022_BenchMarkDataReport!$B$4:$CL$90,27,0),0)</f>
        <v>58500.79</v>
      </c>
      <c r="M54" s="258">
        <f>IFERROR(VLOOKUP(A54,CFR20212022_BenchMarkDataReport!$B$4:$CL$90,28,0),0)</f>
        <v>25156.58</v>
      </c>
      <c r="N54" s="258">
        <f>IFERROR(VLOOKUP(A54,CFR20212022_BenchMarkDataReport!$B$4:$CL$90,29,0),0)</f>
        <v>180</v>
      </c>
      <c r="O54" s="258">
        <f>IFERROR(VLOOKUP(A54,CFR20212022_BenchMarkDataReport!$B$4:$CL$90,30,0),0)</f>
        <v>0</v>
      </c>
      <c r="P54" s="258">
        <f>IFERROR(VLOOKUP(A54,CFR20212022_BenchMarkDataReport!$B$4:$CL$90,31,0),0)</f>
        <v>25048.14</v>
      </c>
      <c r="Q54" s="258">
        <f>IFERROR(VLOOKUP(A54,CFR20212022_BenchMarkDataReport!$B$4:$CL$90,32,0),0)</f>
        <v>27441.759999999998</v>
      </c>
      <c r="R54" s="258">
        <f>IFERROR(VLOOKUP(A54,CFR20212022_BenchMarkDataReport!$B$4:$CL$90,33,0),0)</f>
        <v>0</v>
      </c>
      <c r="S54" s="258">
        <f>IFERROR(VLOOKUP(A54,CFR20212022_BenchMarkDataReport!$B$4:$CL$90,34,0),0)</f>
        <v>0</v>
      </c>
      <c r="T54" s="258">
        <f>IFERROR(VLOOKUP(A54,CFR20212022_BenchMarkDataReport!$B$4:$CL$90,35,0),0)</f>
        <v>0</v>
      </c>
      <c r="U54" s="258">
        <f t="shared" si="0"/>
        <v>60525.87</v>
      </c>
      <c r="V54" s="258">
        <f>IFERROR(VLOOKUP(A54,CFR20212022_BenchMarkDataReport!$B$4:$CL$90,40,0),0)</f>
        <v>760553.12</v>
      </c>
      <c r="W54" s="258">
        <f>IFERROR(VLOOKUP(A54,CFR20212022_BenchMarkDataReport!$B$4:$CL$90,41,0),0)</f>
        <v>0</v>
      </c>
      <c r="X54" s="258">
        <f>IFERROR(VLOOKUP(A54,CFR20212022_BenchMarkDataReport!$B$4:$CL$90,42,0),0)</f>
        <v>458495.78</v>
      </c>
      <c r="Y54" s="258">
        <f>IFERROR(VLOOKUP(A54,CFR20212022_BenchMarkDataReport!$B$4:$CL$90,43,0),0)</f>
        <v>55497.21</v>
      </c>
      <c r="Z54" s="258">
        <f>IFERROR(VLOOKUP(A54,CFR20212022_BenchMarkDataReport!$B$4:$CL$90,44,0),0)</f>
        <v>48853.65</v>
      </c>
      <c r="AA54" s="258">
        <f>IFERROR(VLOOKUP(A54,CFR20212022_BenchMarkDataReport!$B$4:$CL$90,45,0),0)</f>
        <v>0</v>
      </c>
      <c r="AB54" s="258">
        <f>IFERROR(VLOOKUP(A54,CFR20212022_BenchMarkDataReport!$B$4:$CL$90,46,0),0)</f>
        <v>40924.080000000002</v>
      </c>
      <c r="AC54" s="258">
        <f>IFERROR(VLOOKUP(A54,CFR20212022_BenchMarkDataReport!$B$4:$CL$90,47,0),0)</f>
        <v>8592.2800000000007</v>
      </c>
      <c r="AD54" s="258">
        <f>IFERROR(VLOOKUP(A54,CFR20212022_BenchMarkDataReport!$B$4:$CL$90,48,0),0)</f>
        <v>3170.32</v>
      </c>
      <c r="AE54" s="258">
        <f>IFERROR(VLOOKUP(A54,CFR20212022_BenchMarkDataReport!$B$4:$CL$90,49,0),0)</f>
        <v>346.04</v>
      </c>
      <c r="AF54" s="258">
        <f>IFERROR(VLOOKUP(A54,CFR20212022_BenchMarkDataReport!$B$4:$CL$90,50,0),0)</f>
        <v>0</v>
      </c>
      <c r="AG54" s="258">
        <f>IFERROR(VLOOKUP(A54,CFR20212022_BenchMarkDataReport!$B$4:$CL$90,51,0),0)</f>
        <v>9513.41</v>
      </c>
      <c r="AH54" s="258">
        <f>IFERROR(VLOOKUP(A54,CFR20212022_BenchMarkDataReport!$B$4:$CL$90,52,0),0)</f>
        <v>0</v>
      </c>
      <c r="AI54" s="258">
        <f>IFERROR(VLOOKUP(A54,CFR20212022_BenchMarkDataReport!$B$4:$CL$90,53,0),0)</f>
        <v>4649.95</v>
      </c>
      <c r="AJ54" s="258">
        <f>IFERROR(VLOOKUP(A54,CFR20212022_BenchMarkDataReport!$B$4:$CL$90,54,0),0)</f>
        <v>3119.77</v>
      </c>
      <c r="AK54" s="258">
        <f>IFERROR(VLOOKUP(A54,CFR20212022_BenchMarkDataReport!$B$4:$CL$90,55,0),0)</f>
        <v>29525.47</v>
      </c>
      <c r="AL54" s="258">
        <f>IFERROR(VLOOKUP(A54,CFR20212022_BenchMarkDataReport!$B$4:$CL$90,56,0),0)</f>
        <v>30464</v>
      </c>
      <c r="AM54" s="258">
        <f>IFERROR(VLOOKUP(A54,CFR20212022_BenchMarkDataReport!$B$4:$CL$90,57,0),0)</f>
        <v>7630.88</v>
      </c>
      <c r="AN54" s="258">
        <f>IFERROR(VLOOKUP(A54,CFR20212022_BenchMarkDataReport!$B$4:$CL$90,58,0),0)</f>
        <v>63180.88</v>
      </c>
      <c r="AO54" s="258">
        <f>IFERROR(VLOOKUP(A54,CFR20212022_BenchMarkDataReport!$B$4:$CL$90,59,0),0)</f>
        <v>8334.24</v>
      </c>
      <c r="AP54" s="258">
        <f>IFERROR(VLOOKUP(A54,CFR20212022_BenchMarkDataReport!$B$4:$CL$90,60,0),0)</f>
        <v>0</v>
      </c>
      <c r="AQ54" s="258">
        <f>IFERROR(VLOOKUP(A54,CFR20212022_BenchMarkDataReport!$B$4:$CL$90,61,0),0)</f>
        <v>9927.65</v>
      </c>
      <c r="AR54" s="258">
        <f>IFERROR(VLOOKUP(A54,CFR20212022_BenchMarkDataReport!$B$4:$CL$90,62,0),0)</f>
        <v>6678.57</v>
      </c>
      <c r="AS54" s="258">
        <f>IFERROR(VLOOKUP(A54,CFR20212022_BenchMarkDataReport!$B$4:$CL$90,63,0),0)</f>
        <v>14723.38</v>
      </c>
      <c r="AT54" s="258">
        <f>IFERROR(VLOOKUP(A54,CFR20212022_BenchMarkDataReport!$B$4:$CL$90,64,0),0)</f>
        <v>52942.68</v>
      </c>
      <c r="AU54" s="258">
        <f>IFERROR(VLOOKUP(A54,CFR20212022_BenchMarkDataReport!$B$4:$CL$90,65,0),0)</f>
        <v>912.5</v>
      </c>
      <c r="AV54" s="258">
        <f>IFERROR(VLOOKUP(A54,CFR20212022_BenchMarkDataReport!$B$4:$CL$90,66,0),0)</f>
        <v>48767.49</v>
      </c>
      <c r="AW54" s="258">
        <f>IFERROR(VLOOKUP(A54,CFR20212022_BenchMarkDataReport!$B$4:$CL$90,67,0),0)</f>
        <v>38944.379999999997</v>
      </c>
      <c r="AX54" s="258">
        <f>IFERROR(VLOOKUP(A54,CFR20212022_BenchMarkDataReport!$B$4:$CL$90,68,0),0)</f>
        <v>0</v>
      </c>
      <c r="AY54" s="258">
        <f>IFERROR(VLOOKUP(A54,CFR20212022_BenchMarkDataReport!$B$4:$CL$90,69,0),0)</f>
        <v>0</v>
      </c>
      <c r="AZ54" s="258">
        <f>IFERROR(VLOOKUP(A54,CFR20212022_BenchMarkDataReport!$B$4:$CL$90,70,0),0)</f>
        <v>0</v>
      </c>
      <c r="BA54" s="258">
        <f>IFERROR(VLOOKUP(A54,CFR20212022_BenchMarkDataReport!$B$4:$CL$90,71,0),0)</f>
        <v>0</v>
      </c>
      <c r="BB54" s="258">
        <f>IFERROR(VLOOKUP(A54,CFR20212022_BenchMarkDataReport!$B$4:$CL$90,72,0),0)</f>
        <v>0</v>
      </c>
      <c r="BC54" s="259">
        <f t="shared" si="84"/>
        <v>1731511.05</v>
      </c>
      <c r="BD54" s="260">
        <f t="shared" si="81"/>
        <v>1705747.7299999993</v>
      </c>
      <c r="BE54" s="300">
        <f t="shared" si="82"/>
        <v>25763.320000000764</v>
      </c>
      <c r="BF54" s="258">
        <f>IFERROR(VLOOKUP(A54,CFR20212022_BenchMarkDataReport!$B$4:$CL$90,16,0),0)</f>
        <v>49397.96</v>
      </c>
      <c r="BG54" s="300">
        <f t="shared" si="83"/>
        <v>75161.280000000756</v>
      </c>
      <c r="BH54" s="261">
        <f>IFERROR(VLOOKUP(A54,'Pupil Nos BenchmarkData 21-22'!$A$6:$E$94,5,0),0)</f>
        <v>249</v>
      </c>
      <c r="BI54" s="260">
        <f t="shared" si="1"/>
        <v>1439796.55</v>
      </c>
      <c r="BJ54" s="227" t="s">
        <v>183</v>
      </c>
      <c r="BK54" s="262">
        <f t="shared" si="85"/>
        <v>0.78803386209981163</v>
      </c>
      <c r="BL54" s="263">
        <f t="shared" si="86"/>
        <v>5479.8768674698795</v>
      </c>
      <c r="BM54" s="264">
        <f t="shared" si="87"/>
        <v>0</v>
      </c>
      <c r="BN54" s="265">
        <f t="shared" si="88"/>
        <v>0</v>
      </c>
      <c r="BO54" s="262">
        <f t="shared" si="89"/>
        <v>4.3492191401261926E-2</v>
      </c>
      <c r="BP54" s="263">
        <f t="shared" si="90"/>
        <v>302.43859437751007</v>
      </c>
      <c r="BQ54" s="264">
        <f t="shared" si="91"/>
        <v>0</v>
      </c>
      <c r="BR54" s="265">
        <f t="shared" si="92"/>
        <v>0</v>
      </c>
      <c r="BS54" s="262">
        <f t="shared" si="93"/>
        <v>3.8027548250413989E-2</v>
      </c>
      <c r="BT54" s="263">
        <f t="shared" si="94"/>
        <v>264.43823293172687</v>
      </c>
      <c r="BU54" s="264">
        <f t="shared" si="95"/>
        <v>4.3314768334859893E-3</v>
      </c>
      <c r="BV54" s="265">
        <f t="shared" si="96"/>
        <v>30.120481927710845</v>
      </c>
      <c r="BW54" s="262">
        <f t="shared" si="97"/>
        <v>0</v>
      </c>
      <c r="BX54" s="263">
        <f t="shared" si="98"/>
        <v>0</v>
      </c>
      <c r="BY54" s="264">
        <f t="shared" si="99"/>
        <v>4.6212254897247118E-2</v>
      </c>
      <c r="BZ54" s="266">
        <f t="shared" si="100"/>
        <v>321.35353413654616</v>
      </c>
      <c r="CA54" s="267">
        <f t="shared" si="101"/>
        <v>1.4466058417588499E-2</v>
      </c>
      <c r="CB54" s="268">
        <f t="shared" si="102"/>
        <v>100.59493975903614</v>
      </c>
      <c r="CC54" s="264">
        <f t="shared" si="103"/>
        <v>1.5848446361344328E-2</v>
      </c>
      <c r="CD54" s="265">
        <f t="shared" si="104"/>
        <v>110.20787148594377</v>
      </c>
      <c r="CE54" s="269">
        <f t="shared" si="105"/>
        <v>0.52887029073656278</v>
      </c>
      <c r="CF54" s="267">
        <f t="shared" si="106"/>
        <v>0.43976942567013938</v>
      </c>
      <c r="CG54" s="267">
        <f t="shared" si="107"/>
        <v>0.44641162735124984</v>
      </c>
      <c r="CH54" s="268">
        <f t="shared" si="108"/>
        <v>3058.094859437751</v>
      </c>
      <c r="CI54" s="264">
        <f t="shared" si="109"/>
        <v>0.31844483861278872</v>
      </c>
      <c r="CJ54" s="270">
        <f t="shared" si="110"/>
        <v>0.26479517990947848</v>
      </c>
      <c r="CK54" s="270">
        <f t="shared" si="111"/>
        <v>0.26879460071156019</v>
      </c>
      <c r="CL54" s="271">
        <f t="shared" si="112"/>
        <v>1841.348514056225</v>
      </c>
      <c r="CM54" s="269">
        <f t="shared" si="113"/>
        <v>3.8545175011011103E-2</v>
      </c>
      <c r="CN54" s="267">
        <f t="shared" si="114"/>
        <v>3.2051317258414258E-2</v>
      </c>
      <c r="CO54" s="267">
        <f t="shared" si="115"/>
        <v>3.2535414835346152E-2</v>
      </c>
      <c r="CP54" s="268">
        <f t="shared" si="116"/>
        <v>222.88036144578314</v>
      </c>
      <c r="CQ54" s="264">
        <f t="shared" si="117"/>
        <v>3.3930939756731601E-2</v>
      </c>
      <c r="CR54" s="270">
        <f t="shared" si="118"/>
        <v>2.8214460427497704E-2</v>
      </c>
      <c r="CS54" s="270">
        <f t="shared" si="119"/>
        <v>2.864060677952655E-2</v>
      </c>
      <c r="CT54" s="265">
        <f t="shared" si="120"/>
        <v>196.19939759036146</v>
      </c>
      <c r="CU54" s="269">
        <f t="shared" si="121"/>
        <v>0.94758098982804184</v>
      </c>
      <c r="CV54" s="267">
        <f t="shared" si="122"/>
        <v>0.78793828084435258</v>
      </c>
      <c r="CW54" s="267">
        <f t="shared" si="123"/>
        <v>0.79983916496257068</v>
      </c>
      <c r="CX54" s="268">
        <f t="shared" si="124"/>
        <v>5479.2122088353408</v>
      </c>
      <c r="CY54" s="264">
        <f t="shared" si="125"/>
        <v>6.607468256539439E-3</v>
      </c>
      <c r="CZ54" s="270">
        <f t="shared" si="126"/>
        <v>5.5772666923027377E-3</v>
      </c>
      <c r="DA54" s="265">
        <f t="shared" si="127"/>
        <v>38.206465863453815</v>
      </c>
      <c r="DB54" s="269">
        <f t="shared" si="128"/>
        <v>1.82897502668815E-3</v>
      </c>
      <c r="DC54" s="268">
        <f t="shared" si="129"/>
        <v>12.529196787148594</v>
      </c>
      <c r="DD54" s="264">
        <f t="shared" si="130"/>
        <v>2.0506695893944184E-2</v>
      </c>
      <c r="DE54" s="270">
        <f t="shared" si="131"/>
        <v>1.7309400142071427E-2</v>
      </c>
      <c r="DF54" s="265">
        <f t="shared" si="132"/>
        <v>118.57618473895583</v>
      </c>
      <c r="DG54" s="269">
        <f t="shared" si="133"/>
        <v>5.2999710271565796E-3</v>
      </c>
      <c r="DH54" s="267">
        <f t="shared" si="134"/>
        <v>4.4736275275594258E-3</v>
      </c>
      <c r="DI54" s="272">
        <f t="shared" si="135"/>
        <v>30.646104417670685</v>
      </c>
      <c r="DJ54" s="264">
        <f t="shared" si="136"/>
        <v>4.3881810940580454E-2</v>
      </c>
      <c r="DK54" s="270">
        <f t="shared" si="137"/>
        <v>3.6488869071901096E-2</v>
      </c>
      <c r="DL54" s="270">
        <f t="shared" si="138"/>
        <v>3.7039990667318681E-2</v>
      </c>
      <c r="DM54" s="265">
        <f t="shared" si="139"/>
        <v>253.73847389558233</v>
      </c>
      <c r="DN54" s="269">
        <f t="shared" si="140"/>
        <v>6.8951755718542314E-3</v>
      </c>
      <c r="DO54" s="267">
        <f t="shared" si="141"/>
        <v>5.8201162020599636E-3</v>
      </c>
      <c r="DP54" s="268">
        <f t="shared" si="142"/>
        <v>39.870080321285137</v>
      </c>
      <c r="DQ54" s="264">
        <f t="shared" si="143"/>
        <v>3.3871097968667864E-2</v>
      </c>
      <c r="DR54" s="270">
        <f t="shared" si="144"/>
        <v>2.8590095207103115E-2</v>
      </c>
      <c r="DS54" s="265">
        <f t="shared" si="145"/>
        <v>195.85337349397591</v>
      </c>
      <c r="DT54" s="269">
        <f t="shared" si="146"/>
        <v>3.1037813545851837E-2</v>
      </c>
      <c r="DU54" s="268">
        <f t="shared" si="147"/>
        <v>212.6212048192771</v>
      </c>
      <c r="DV54" s="264">
        <f t="shared" si="2"/>
        <v>2.72604788986001E-3</v>
      </c>
      <c r="DW54" s="265">
        <f t="shared" si="3"/>
        <v>18.674497991967872</v>
      </c>
      <c r="DX54" s="264">
        <f t="shared" si="148"/>
        <v>3.1948958344149385E-5</v>
      </c>
      <c r="DY54" s="270">
        <f t="shared" si="149"/>
        <v>2.6566391245380731E-5</v>
      </c>
      <c r="DZ54" s="270">
        <f t="shared" si="150"/>
        <v>2.696764544426509E-5</v>
      </c>
      <c r="EA54" s="265">
        <f t="shared" si="151"/>
        <v>0.18473895582329317</v>
      </c>
      <c r="EB54" s="273">
        <f>IFERROR(VLOOKUP(A54,'BARNET SCHS PUPIL PREMIUM Nos'!$E$31:$V$117,17,0),0)</f>
        <v>46</v>
      </c>
      <c r="EC54" s="258">
        <f>IFERROR(VLOOKUP(A54,CFR20212022_BenchMarkDataReport!$B$4:$CL$90,36,0),0)</f>
        <v>0</v>
      </c>
      <c r="ED54" s="258">
        <f>IFERROR(VLOOKUP(A54,CFR20212022_BenchMarkDataReport!$B$4:$CL$90,37,0),0)</f>
        <v>0</v>
      </c>
      <c r="EE54" s="258">
        <f>IFERROR(VLOOKUP(A54,CFR20212022_BenchMarkDataReport!$B$4:$CL$90,38,0),0)</f>
        <v>13081.87</v>
      </c>
      <c r="EF54" s="258">
        <f>IFERROR(VLOOKUP(A54,CFR20212022_BenchMarkDataReport!$B$4:$CL$90,39,0),0)</f>
        <v>47444</v>
      </c>
      <c r="EG54" s="227"/>
    </row>
    <row r="55" spans="1:137" s="5" customFormat="1">
      <c r="A55" s="147">
        <v>2077</v>
      </c>
      <c r="B55" s="298">
        <v>10127</v>
      </c>
      <c r="C55" s="147" t="s">
        <v>79</v>
      </c>
      <c r="D55" s="258">
        <f>IFERROR(VLOOKUP(A55,CFR20212022_BenchMarkDataReport!$B$4:$CL$90,19,0),0)</f>
        <v>5566942.6500000004</v>
      </c>
      <c r="E55" s="258">
        <f>IFERROR(VLOOKUP(A55,CFR20212022_BenchMarkDataReport!$B$4:$CL$90,20,0),0)</f>
        <v>0</v>
      </c>
      <c r="F55" s="258">
        <f>IFERROR(VLOOKUP(A55,CFR20212022_BenchMarkDataReport!$B$4:$CL$90,21,0),0)</f>
        <v>768261.77</v>
      </c>
      <c r="G55" s="258">
        <f>IFERROR(VLOOKUP(A55,CFR20212022_BenchMarkDataReport!$B$4:$CL$90,22,0),0)</f>
        <v>0</v>
      </c>
      <c r="H55" s="258">
        <f>IFERROR(VLOOKUP(A55,CFR20212022_BenchMarkDataReport!$B$4:$CL$90,23,0),0)</f>
        <v>601490.01</v>
      </c>
      <c r="I55" s="258">
        <f>IFERROR(VLOOKUP(A55,CFR20212022_BenchMarkDataReport!$B$4:$CL$90,24,0),0)</f>
        <v>4267</v>
      </c>
      <c r="J55" s="258">
        <f>IFERROR(VLOOKUP(A55,CFR20212022_BenchMarkDataReport!$B$4:$CL$90,25,0),0)</f>
        <v>0</v>
      </c>
      <c r="K55" s="258">
        <f>IFERROR(VLOOKUP(A55,CFR20212022_BenchMarkDataReport!$B$4:$CL$90,26,0),0)</f>
        <v>12665</v>
      </c>
      <c r="L55" s="258">
        <f>IFERROR(VLOOKUP(A55,CFR20212022_BenchMarkDataReport!$B$4:$CL$90,27,0),0)</f>
        <v>87398.54</v>
      </c>
      <c r="M55" s="258">
        <f>IFERROR(VLOOKUP(A55,CFR20212022_BenchMarkDataReport!$B$4:$CL$90,28,0),0)</f>
        <v>83579.17</v>
      </c>
      <c r="N55" s="258">
        <f>IFERROR(VLOOKUP(A55,CFR20212022_BenchMarkDataReport!$B$4:$CL$90,29,0),0)</f>
        <v>0</v>
      </c>
      <c r="O55" s="258">
        <f>IFERROR(VLOOKUP(A55,CFR20212022_BenchMarkDataReport!$B$4:$CL$90,30,0),0)</f>
        <v>0</v>
      </c>
      <c r="P55" s="258">
        <f>IFERROR(VLOOKUP(A55,CFR20212022_BenchMarkDataReport!$B$4:$CL$90,31,0),0)</f>
        <v>18413.8</v>
      </c>
      <c r="Q55" s="258">
        <f>IFERROR(VLOOKUP(A55,CFR20212022_BenchMarkDataReport!$B$4:$CL$90,32,0),0)</f>
        <v>28504.66</v>
      </c>
      <c r="R55" s="258">
        <f>IFERROR(VLOOKUP(A55,CFR20212022_BenchMarkDataReport!$B$4:$CL$90,33,0),0)</f>
        <v>0</v>
      </c>
      <c r="S55" s="258">
        <f>IFERROR(VLOOKUP(A55,CFR20212022_BenchMarkDataReport!$B$4:$CL$90,34,0),0)</f>
        <v>0</v>
      </c>
      <c r="T55" s="258">
        <f>IFERROR(VLOOKUP(A55,CFR20212022_BenchMarkDataReport!$B$4:$CL$90,35,0),0)</f>
        <v>0</v>
      </c>
      <c r="U55" s="258">
        <f t="shared" si="0"/>
        <v>211974.95</v>
      </c>
      <c r="V55" s="258">
        <f>IFERROR(VLOOKUP(A55,CFR20212022_BenchMarkDataReport!$B$4:$CL$90,40,0),0)</f>
        <v>3260945.16</v>
      </c>
      <c r="W55" s="258">
        <f>IFERROR(VLOOKUP(A55,CFR20212022_BenchMarkDataReport!$B$4:$CL$90,41,0),0)</f>
        <v>0</v>
      </c>
      <c r="X55" s="258">
        <f>IFERROR(VLOOKUP(A55,CFR20212022_BenchMarkDataReport!$B$4:$CL$90,42,0),0)</f>
        <v>1824899.43</v>
      </c>
      <c r="Y55" s="258">
        <f>IFERROR(VLOOKUP(A55,CFR20212022_BenchMarkDataReport!$B$4:$CL$90,43,0),0)</f>
        <v>302661.03999999998</v>
      </c>
      <c r="Z55" s="258">
        <f>IFERROR(VLOOKUP(A55,CFR20212022_BenchMarkDataReport!$B$4:$CL$90,44,0),0)</f>
        <v>232956.84</v>
      </c>
      <c r="AA55" s="258">
        <f>IFERROR(VLOOKUP(A55,CFR20212022_BenchMarkDataReport!$B$4:$CL$90,45,0),0)</f>
        <v>136052.06</v>
      </c>
      <c r="AB55" s="258">
        <f>IFERROR(VLOOKUP(A55,CFR20212022_BenchMarkDataReport!$B$4:$CL$90,46,0),0)</f>
        <v>281216.42</v>
      </c>
      <c r="AC55" s="258">
        <f>IFERROR(VLOOKUP(A55,CFR20212022_BenchMarkDataReport!$B$4:$CL$90,47,0),0)</f>
        <v>27547.46</v>
      </c>
      <c r="AD55" s="258">
        <f>IFERROR(VLOOKUP(A55,CFR20212022_BenchMarkDataReport!$B$4:$CL$90,48,0),0)</f>
        <v>7351.42</v>
      </c>
      <c r="AE55" s="258">
        <f>IFERROR(VLOOKUP(A55,CFR20212022_BenchMarkDataReport!$B$4:$CL$90,49,0),0)</f>
        <v>1420.24</v>
      </c>
      <c r="AF55" s="258">
        <f>IFERROR(VLOOKUP(A55,CFR20212022_BenchMarkDataReport!$B$4:$CL$90,50,0),0)</f>
        <v>0</v>
      </c>
      <c r="AG55" s="258">
        <f>IFERROR(VLOOKUP(A55,CFR20212022_BenchMarkDataReport!$B$4:$CL$90,51,0),0)</f>
        <v>44991.54</v>
      </c>
      <c r="AH55" s="258">
        <f>IFERROR(VLOOKUP(A55,CFR20212022_BenchMarkDataReport!$B$4:$CL$90,52,0),0)</f>
        <v>32292.75</v>
      </c>
      <c r="AI55" s="258">
        <f>IFERROR(VLOOKUP(A55,CFR20212022_BenchMarkDataReport!$B$4:$CL$90,53,0),0)</f>
        <v>11320.87</v>
      </c>
      <c r="AJ55" s="258">
        <f>IFERROR(VLOOKUP(A55,CFR20212022_BenchMarkDataReport!$B$4:$CL$90,54,0),0)</f>
        <v>36863.08</v>
      </c>
      <c r="AK55" s="258">
        <f>IFERROR(VLOOKUP(A55,CFR20212022_BenchMarkDataReport!$B$4:$CL$90,55,0),0)</f>
        <v>73637.5</v>
      </c>
      <c r="AL55" s="258">
        <f>IFERROR(VLOOKUP(A55,CFR20212022_BenchMarkDataReport!$B$4:$CL$90,56,0),0)</f>
        <v>5993.47</v>
      </c>
      <c r="AM55" s="258">
        <f>IFERROR(VLOOKUP(A55,CFR20212022_BenchMarkDataReport!$B$4:$CL$90,57,0),0)</f>
        <v>45936.38</v>
      </c>
      <c r="AN55" s="258">
        <f>IFERROR(VLOOKUP(A55,CFR20212022_BenchMarkDataReport!$B$4:$CL$90,58,0),0)</f>
        <v>277681.09000000003</v>
      </c>
      <c r="AO55" s="258">
        <f>IFERROR(VLOOKUP(A55,CFR20212022_BenchMarkDataReport!$B$4:$CL$90,59,0),0)</f>
        <v>36656.75</v>
      </c>
      <c r="AP55" s="258">
        <f>IFERROR(VLOOKUP(A55,CFR20212022_BenchMarkDataReport!$B$4:$CL$90,60,0),0)</f>
        <v>0</v>
      </c>
      <c r="AQ55" s="258">
        <f>IFERROR(VLOOKUP(A55,CFR20212022_BenchMarkDataReport!$B$4:$CL$90,61,0),0)</f>
        <v>83826.64</v>
      </c>
      <c r="AR55" s="258">
        <f>IFERROR(VLOOKUP(A55,CFR20212022_BenchMarkDataReport!$B$4:$CL$90,62,0),0)</f>
        <v>28267.91</v>
      </c>
      <c r="AS55" s="258">
        <f>IFERROR(VLOOKUP(A55,CFR20212022_BenchMarkDataReport!$B$4:$CL$90,63,0),0)</f>
        <v>44936.78</v>
      </c>
      <c r="AT55" s="258">
        <f>IFERROR(VLOOKUP(A55,CFR20212022_BenchMarkDataReport!$B$4:$CL$90,64,0),0)</f>
        <v>192422.9</v>
      </c>
      <c r="AU55" s="258">
        <f>IFERROR(VLOOKUP(A55,CFR20212022_BenchMarkDataReport!$B$4:$CL$90,65,0),0)</f>
        <v>101671.26</v>
      </c>
      <c r="AV55" s="258">
        <f>IFERROR(VLOOKUP(A55,CFR20212022_BenchMarkDataReport!$B$4:$CL$90,66,0),0)</f>
        <v>450986.97</v>
      </c>
      <c r="AW55" s="258">
        <f>IFERROR(VLOOKUP(A55,CFR20212022_BenchMarkDataReport!$B$4:$CL$90,67,0),0)</f>
        <v>70515.64</v>
      </c>
      <c r="AX55" s="258">
        <f>IFERROR(VLOOKUP(A55,CFR20212022_BenchMarkDataReport!$B$4:$CL$90,68,0),0)</f>
        <v>0</v>
      </c>
      <c r="AY55" s="258">
        <f>IFERROR(VLOOKUP(A55,CFR20212022_BenchMarkDataReport!$B$4:$CL$90,69,0),0)</f>
        <v>0</v>
      </c>
      <c r="AZ55" s="258">
        <f>IFERROR(VLOOKUP(A55,CFR20212022_BenchMarkDataReport!$B$4:$CL$90,70,0),0)</f>
        <v>0</v>
      </c>
      <c r="BA55" s="258">
        <f>IFERROR(VLOOKUP(A55,CFR20212022_BenchMarkDataReport!$B$4:$CL$90,71,0),0)</f>
        <v>0</v>
      </c>
      <c r="BB55" s="258">
        <f>IFERROR(VLOOKUP(A55,CFR20212022_BenchMarkDataReport!$B$4:$CL$90,72,0),0)</f>
        <v>0</v>
      </c>
      <c r="BC55" s="259">
        <f t="shared" si="84"/>
        <v>7383497.5499999998</v>
      </c>
      <c r="BD55" s="260">
        <f t="shared" si="81"/>
        <v>7613051.5999999987</v>
      </c>
      <c r="BE55" s="300">
        <f t="shared" si="82"/>
        <v>-229554.04999999888</v>
      </c>
      <c r="BF55" s="258">
        <f>IFERROR(VLOOKUP(A55,CFR20212022_BenchMarkDataReport!$B$4:$CL$90,16,0),0)</f>
        <v>147576.54</v>
      </c>
      <c r="BG55" s="300">
        <f>SUM(BE55:BF55)-BB55</f>
        <v>-81977.509999998874</v>
      </c>
      <c r="BH55" s="261">
        <f>IFERROR(VLOOKUP(A55,'Pupil Nos BenchmarkData 21-22'!$A$6:$E$94,5,0),0)</f>
        <v>915</v>
      </c>
      <c r="BI55" s="260">
        <f t="shared" si="1"/>
        <v>6335204.4199999999</v>
      </c>
      <c r="BJ55" s="227" t="s">
        <v>183</v>
      </c>
      <c r="BK55" s="262">
        <f t="shared" si="85"/>
        <v>0.75397094836172873</v>
      </c>
      <c r="BL55" s="263">
        <f t="shared" si="86"/>
        <v>6084.0903278688529</v>
      </c>
      <c r="BM55" s="264">
        <f t="shared" si="87"/>
        <v>0</v>
      </c>
      <c r="BN55" s="265">
        <f t="shared" si="88"/>
        <v>0</v>
      </c>
      <c r="BO55" s="262">
        <f t="shared" si="89"/>
        <v>0.1040511986084427</v>
      </c>
      <c r="BP55" s="263">
        <f t="shared" si="90"/>
        <v>839.63034972677599</v>
      </c>
      <c r="BQ55" s="264">
        <f t="shared" si="91"/>
        <v>0</v>
      </c>
      <c r="BR55" s="265">
        <f t="shared" si="92"/>
        <v>0</v>
      </c>
      <c r="BS55" s="262">
        <f t="shared" si="93"/>
        <v>8.1464103688908246E-2</v>
      </c>
      <c r="BT55" s="263">
        <f t="shared" si="94"/>
        <v>657.36613114754095</v>
      </c>
      <c r="BU55" s="264">
        <f t="shared" si="95"/>
        <v>5.7791039695002E-4</v>
      </c>
      <c r="BV55" s="265">
        <f t="shared" si="96"/>
        <v>4.6633879781420768</v>
      </c>
      <c r="BW55" s="262">
        <f t="shared" si="97"/>
        <v>0</v>
      </c>
      <c r="BX55" s="263">
        <f t="shared" si="98"/>
        <v>0</v>
      </c>
      <c r="BY55" s="264">
        <f t="shared" si="99"/>
        <v>1.3552322503310101E-2</v>
      </c>
      <c r="BZ55" s="266">
        <f t="shared" si="100"/>
        <v>109.35906010928962</v>
      </c>
      <c r="CA55" s="267">
        <f t="shared" si="101"/>
        <v>2.4939129288395309E-3</v>
      </c>
      <c r="CB55" s="268">
        <f t="shared" si="102"/>
        <v>20.124371584699453</v>
      </c>
      <c r="CC55" s="264">
        <f t="shared" si="103"/>
        <v>3.8605904325112158E-3</v>
      </c>
      <c r="CD55" s="265">
        <f t="shared" si="104"/>
        <v>31.152633879781419</v>
      </c>
      <c r="CE55" s="269">
        <f t="shared" si="105"/>
        <v>0.53078262311226254</v>
      </c>
      <c r="CF55" s="267">
        <f t="shared" si="106"/>
        <v>0.45542324585724281</v>
      </c>
      <c r="CG55" s="267">
        <f t="shared" si="107"/>
        <v>0.44169100600868128</v>
      </c>
      <c r="CH55" s="268">
        <f t="shared" si="108"/>
        <v>3674.9906229508197</v>
      </c>
      <c r="CI55" s="264">
        <f t="shared" si="109"/>
        <v>0.28805691324479787</v>
      </c>
      <c r="CJ55" s="270">
        <f t="shared" si="110"/>
        <v>0.24715921115190184</v>
      </c>
      <c r="CK55" s="270">
        <f t="shared" si="111"/>
        <v>0.2397066939622477</v>
      </c>
      <c r="CL55" s="271">
        <f t="shared" si="112"/>
        <v>1994.425606557377</v>
      </c>
      <c r="CM55" s="269">
        <f t="shared" si="113"/>
        <v>4.7774471024882886E-2</v>
      </c>
      <c r="CN55" s="267">
        <f t="shared" si="114"/>
        <v>4.0991554199134257E-2</v>
      </c>
      <c r="CO55" s="267">
        <f t="shared" si="115"/>
        <v>3.9755548221950841E-2</v>
      </c>
      <c r="CP55" s="268">
        <f t="shared" si="116"/>
        <v>330.77709289617485</v>
      </c>
      <c r="CQ55" s="264">
        <f t="shared" si="117"/>
        <v>3.6771795281706161E-2</v>
      </c>
      <c r="CR55" s="270">
        <f t="shared" si="118"/>
        <v>3.1551014735557131E-2</v>
      </c>
      <c r="CS55" s="270">
        <f t="shared" si="119"/>
        <v>3.0599666499042256E-2</v>
      </c>
      <c r="CT55" s="265">
        <f t="shared" si="120"/>
        <v>254.59763934426229</v>
      </c>
      <c r="CU55" s="269">
        <f t="shared" si="121"/>
        <v>0.95320222516197817</v>
      </c>
      <c r="CV55" s="267">
        <f t="shared" si="122"/>
        <v>0.81786861973022518</v>
      </c>
      <c r="CW55" s="267">
        <f t="shared" si="123"/>
        <v>0.79320767377959189</v>
      </c>
      <c r="CX55" s="268">
        <f t="shared" si="124"/>
        <v>6599.7059562841523</v>
      </c>
      <c r="CY55" s="264">
        <f t="shared" si="125"/>
        <v>7.1018292413680319E-3</v>
      </c>
      <c r="CZ55" s="270">
        <f t="shared" si="126"/>
        <v>5.909790497150973E-3</v>
      </c>
      <c r="DA55" s="265">
        <f t="shared" si="127"/>
        <v>49.171081967213112</v>
      </c>
      <c r="DB55" s="269">
        <f t="shared" si="128"/>
        <v>4.8420898657773456E-3</v>
      </c>
      <c r="DC55" s="268">
        <f t="shared" si="129"/>
        <v>40.287519125683062</v>
      </c>
      <c r="DD55" s="264">
        <f t="shared" si="130"/>
        <v>1.1623539686821976E-2</v>
      </c>
      <c r="DE55" s="270">
        <f t="shared" si="131"/>
        <v>9.6725339415800107E-3</v>
      </c>
      <c r="DF55" s="265">
        <f t="shared" si="132"/>
        <v>80.478142076502735</v>
      </c>
      <c r="DG55" s="269">
        <f t="shared" si="133"/>
        <v>7.2509704430342593E-3</v>
      </c>
      <c r="DH55" s="267">
        <f t="shared" si="134"/>
        <v>6.0338984172916945E-3</v>
      </c>
      <c r="DI55" s="272">
        <f t="shared" si="135"/>
        <v>50.203693989071034</v>
      </c>
      <c r="DJ55" s="264">
        <f t="shared" si="136"/>
        <v>4.3831433303615483E-2</v>
      </c>
      <c r="DK55" s="270">
        <f t="shared" si="137"/>
        <v>3.7608340507948028E-2</v>
      </c>
      <c r="DL55" s="270">
        <f t="shared" si="138"/>
        <v>3.6474347553351674E-2</v>
      </c>
      <c r="DM55" s="265">
        <f t="shared" si="139"/>
        <v>303.4766010928962</v>
      </c>
      <c r="DN55" s="269">
        <f t="shared" si="140"/>
        <v>1.3231876107322202E-2</v>
      </c>
      <c r="DO55" s="267">
        <f t="shared" si="141"/>
        <v>1.1010911839872465E-2</v>
      </c>
      <c r="DP55" s="268">
        <f t="shared" si="142"/>
        <v>91.613814207650279</v>
      </c>
      <c r="DQ55" s="264">
        <f t="shared" si="143"/>
        <v>7.1187437705443446E-2</v>
      </c>
      <c r="DR55" s="270">
        <f t="shared" si="144"/>
        <v>5.9238659304502818E-2</v>
      </c>
      <c r="DS55" s="265">
        <f t="shared" si="145"/>
        <v>492.88193442622946</v>
      </c>
      <c r="DT55" s="269">
        <f t="shared" si="146"/>
        <v>2.5275396793580124E-2</v>
      </c>
      <c r="DU55" s="268">
        <f t="shared" si="147"/>
        <v>210.29825136612021</v>
      </c>
      <c r="DV55" s="264">
        <f t="shared" si="2"/>
        <v>1.4870344501539965E-3</v>
      </c>
      <c r="DW55" s="265">
        <f t="shared" si="3"/>
        <v>12.372535519125684</v>
      </c>
      <c r="DX55" s="264">
        <f t="shared" si="148"/>
        <v>6.8663924817756708E-5</v>
      </c>
      <c r="DY55" s="270">
        <f t="shared" si="149"/>
        <v>5.8915168191530047E-5</v>
      </c>
      <c r="DZ55" s="270">
        <f t="shared" si="150"/>
        <v>5.7138716884567037E-5</v>
      </c>
      <c r="EA55" s="265">
        <f t="shared" si="151"/>
        <v>0.47540983606557374</v>
      </c>
      <c r="EB55" s="273">
        <f>IFERROR(VLOOKUP(A55,'BARNET SCHS PUPIL PREMIUM Nos'!$E$31:$V$117,17,0),0)</f>
        <v>435</v>
      </c>
      <c r="EC55" s="258">
        <f>IFERROR(VLOOKUP(A55,CFR20212022_BenchMarkDataReport!$B$4:$CL$90,36,0),0)</f>
        <v>0</v>
      </c>
      <c r="ED55" s="258">
        <f>IFERROR(VLOOKUP(A55,CFR20212022_BenchMarkDataReport!$B$4:$CL$90,37,0),0)</f>
        <v>0</v>
      </c>
      <c r="EE55" s="258">
        <f>IFERROR(VLOOKUP(A55,CFR20212022_BenchMarkDataReport!$B$4:$CL$90,38,0),0)</f>
        <v>91865.12</v>
      </c>
      <c r="EF55" s="258">
        <f>IFERROR(VLOOKUP(A55,CFR20212022_BenchMarkDataReport!$B$4:$CL$90,39,0),0)</f>
        <v>120109.83</v>
      </c>
      <c r="EG55" s="227"/>
    </row>
    <row r="56" spans="1:137" s="5" customFormat="1">
      <c r="A56" s="147">
        <v>5201</v>
      </c>
      <c r="B56" s="298">
        <v>10084</v>
      </c>
      <c r="C56" s="147" t="s">
        <v>80</v>
      </c>
      <c r="D56" s="258">
        <f>IFERROR(VLOOKUP(A56,CFR20212022_BenchMarkDataReport!$B$4:$CL$90,19,0),0)</f>
        <v>1819333.51</v>
      </c>
      <c r="E56" s="258">
        <f>IFERROR(VLOOKUP(A56,CFR20212022_BenchMarkDataReport!$B$4:$CL$90,20,0),0)</f>
        <v>0</v>
      </c>
      <c r="F56" s="258">
        <f>IFERROR(VLOOKUP(A56,CFR20212022_BenchMarkDataReport!$B$4:$CL$90,21,0),0)</f>
        <v>144818.64000000001</v>
      </c>
      <c r="G56" s="258">
        <f>IFERROR(VLOOKUP(A56,CFR20212022_BenchMarkDataReport!$B$4:$CL$90,22,0),0)</f>
        <v>0</v>
      </c>
      <c r="H56" s="258">
        <f>IFERROR(VLOOKUP(A56,CFR20212022_BenchMarkDataReport!$B$4:$CL$90,23,0),0)</f>
        <v>107255.03999999999</v>
      </c>
      <c r="I56" s="258">
        <f>IFERROR(VLOOKUP(A56,CFR20212022_BenchMarkDataReport!$B$4:$CL$90,24,0),0)</f>
        <v>5663.6</v>
      </c>
      <c r="J56" s="258">
        <f>IFERROR(VLOOKUP(A56,CFR20212022_BenchMarkDataReport!$B$4:$CL$90,25,0),0)</f>
        <v>0</v>
      </c>
      <c r="K56" s="258">
        <f>IFERROR(VLOOKUP(A56,CFR20212022_BenchMarkDataReport!$B$4:$CL$90,26,0),0)</f>
        <v>6364.63</v>
      </c>
      <c r="L56" s="258">
        <f>IFERROR(VLOOKUP(A56,CFR20212022_BenchMarkDataReport!$B$4:$CL$90,27,0),0)</f>
        <v>28198.38</v>
      </c>
      <c r="M56" s="258">
        <f>IFERROR(VLOOKUP(A56,CFR20212022_BenchMarkDataReport!$B$4:$CL$90,28,0),0)</f>
        <v>41082.550000000003</v>
      </c>
      <c r="N56" s="258">
        <f>IFERROR(VLOOKUP(A56,CFR20212022_BenchMarkDataReport!$B$4:$CL$90,29,0),0)</f>
        <v>0</v>
      </c>
      <c r="O56" s="258">
        <f>IFERROR(VLOOKUP(A56,CFR20212022_BenchMarkDataReport!$B$4:$CL$90,30,0),0)</f>
        <v>0</v>
      </c>
      <c r="P56" s="258">
        <f>IFERROR(VLOOKUP(A56,CFR20212022_BenchMarkDataReport!$B$4:$CL$90,31,0),0)</f>
        <v>25412.65</v>
      </c>
      <c r="Q56" s="258">
        <f>IFERROR(VLOOKUP(A56,CFR20212022_BenchMarkDataReport!$B$4:$CL$90,32,0),0)</f>
        <v>1402.82</v>
      </c>
      <c r="R56" s="258">
        <f>IFERROR(VLOOKUP(A56,CFR20212022_BenchMarkDataReport!$B$4:$CL$90,33,0),0)</f>
        <v>0</v>
      </c>
      <c r="S56" s="258">
        <f>IFERROR(VLOOKUP(A56,CFR20212022_BenchMarkDataReport!$B$4:$CL$90,34,0),0)</f>
        <v>0</v>
      </c>
      <c r="T56" s="258">
        <f>IFERROR(VLOOKUP(A56,CFR20212022_BenchMarkDataReport!$B$4:$CL$90,35,0),0)</f>
        <v>0</v>
      </c>
      <c r="U56" s="258">
        <f t="shared" si="0"/>
        <v>91548.62</v>
      </c>
      <c r="V56" s="258">
        <f>IFERROR(VLOOKUP(A56,CFR20212022_BenchMarkDataReport!$B$4:$CL$90,40,0),0)</f>
        <v>1090853.48</v>
      </c>
      <c r="W56" s="258">
        <f>IFERROR(VLOOKUP(A56,CFR20212022_BenchMarkDataReport!$B$4:$CL$90,41,0),0)</f>
        <v>0</v>
      </c>
      <c r="X56" s="258">
        <f>IFERROR(VLOOKUP(A56,CFR20212022_BenchMarkDataReport!$B$4:$CL$90,42,0),0)</f>
        <v>435900.06</v>
      </c>
      <c r="Y56" s="258">
        <f>IFERROR(VLOOKUP(A56,CFR20212022_BenchMarkDataReport!$B$4:$CL$90,43,0),0)</f>
        <v>70676.56</v>
      </c>
      <c r="Z56" s="258">
        <f>IFERROR(VLOOKUP(A56,CFR20212022_BenchMarkDataReport!$B$4:$CL$90,44,0),0)</f>
        <v>129320.71</v>
      </c>
      <c r="AA56" s="258">
        <f>IFERROR(VLOOKUP(A56,CFR20212022_BenchMarkDataReport!$B$4:$CL$90,45,0),0)</f>
        <v>0</v>
      </c>
      <c r="AB56" s="258">
        <f>IFERROR(VLOOKUP(A56,CFR20212022_BenchMarkDataReport!$B$4:$CL$90,46,0),0)</f>
        <v>44812.85</v>
      </c>
      <c r="AC56" s="258">
        <f>IFERROR(VLOOKUP(A56,CFR20212022_BenchMarkDataReport!$B$4:$CL$90,47,0),0)</f>
        <v>2303.6</v>
      </c>
      <c r="AD56" s="258">
        <f>IFERROR(VLOOKUP(A56,CFR20212022_BenchMarkDataReport!$B$4:$CL$90,48,0),0)</f>
        <v>5910.33</v>
      </c>
      <c r="AE56" s="258">
        <f>IFERROR(VLOOKUP(A56,CFR20212022_BenchMarkDataReport!$B$4:$CL$90,49,0),0)</f>
        <v>646.16</v>
      </c>
      <c r="AF56" s="258">
        <f>IFERROR(VLOOKUP(A56,CFR20212022_BenchMarkDataReport!$B$4:$CL$90,50,0),0)</f>
        <v>0</v>
      </c>
      <c r="AG56" s="258">
        <f>IFERROR(VLOOKUP(A56,CFR20212022_BenchMarkDataReport!$B$4:$CL$90,51,0),0)</f>
        <v>32121.13</v>
      </c>
      <c r="AH56" s="258">
        <f>IFERROR(VLOOKUP(A56,CFR20212022_BenchMarkDataReport!$B$4:$CL$90,52,0),0)</f>
        <v>19900.650000000001</v>
      </c>
      <c r="AI56" s="258">
        <f>IFERROR(VLOOKUP(A56,CFR20212022_BenchMarkDataReport!$B$4:$CL$90,53,0),0)</f>
        <v>27121.79</v>
      </c>
      <c r="AJ56" s="258">
        <f>IFERROR(VLOOKUP(A56,CFR20212022_BenchMarkDataReport!$B$4:$CL$90,54,0),0)</f>
        <v>10430.950000000001</v>
      </c>
      <c r="AK56" s="258">
        <f>IFERROR(VLOOKUP(A56,CFR20212022_BenchMarkDataReport!$B$4:$CL$90,55,0),0)</f>
        <v>36462.86</v>
      </c>
      <c r="AL56" s="258">
        <f>IFERROR(VLOOKUP(A56,CFR20212022_BenchMarkDataReport!$B$4:$CL$90,56,0),0)</f>
        <v>7014.4</v>
      </c>
      <c r="AM56" s="258">
        <f>IFERROR(VLOOKUP(A56,CFR20212022_BenchMarkDataReport!$B$4:$CL$90,57,0),0)</f>
        <v>12276.11</v>
      </c>
      <c r="AN56" s="258">
        <f>IFERROR(VLOOKUP(A56,CFR20212022_BenchMarkDataReport!$B$4:$CL$90,58,0),0)</f>
        <v>88954.52</v>
      </c>
      <c r="AO56" s="258">
        <f>IFERROR(VLOOKUP(A56,CFR20212022_BenchMarkDataReport!$B$4:$CL$90,59,0),0)</f>
        <v>10159.59</v>
      </c>
      <c r="AP56" s="258">
        <f>IFERROR(VLOOKUP(A56,CFR20212022_BenchMarkDataReport!$B$4:$CL$90,60,0),0)</f>
        <v>0</v>
      </c>
      <c r="AQ56" s="258">
        <f>IFERROR(VLOOKUP(A56,CFR20212022_BenchMarkDataReport!$B$4:$CL$90,61,0),0)</f>
        <v>13602.43</v>
      </c>
      <c r="AR56" s="258">
        <f>IFERROR(VLOOKUP(A56,CFR20212022_BenchMarkDataReport!$B$4:$CL$90,62,0),0)</f>
        <v>12301.78</v>
      </c>
      <c r="AS56" s="258">
        <f>IFERROR(VLOOKUP(A56,CFR20212022_BenchMarkDataReport!$B$4:$CL$90,63,0),0)</f>
        <v>11034.56</v>
      </c>
      <c r="AT56" s="258">
        <f>IFERROR(VLOOKUP(A56,CFR20212022_BenchMarkDataReport!$B$4:$CL$90,64,0),0)</f>
        <v>114377.24</v>
      </c>
      <c r="AU56" s="258">
        <f>IFERROR(VLOOKUP(A56,CFR20212022_BenchMarkDataReport!$B$4:$CL$90,65,0),0)</f>
        <v>6377.5</v>
      </c>
      <c r="AV56" s="258">
        <f>IFERROR(VLOOKUP(A56,CFR20212022_BenchMarkDataReport!$B$4:$CL$90,66,0),0)</f>
        <v>72283.960000000006</v>
      </c>
      <c r="AW56" s="258">
        <f>IFERROR(VLOOKUP(A56,CFR20212022_BenchMarkDataReport!$B$4:$CL$90,67,0),0)</f>
        <v>30265.79</v>
      </c>
      <c r="AX56" s="258">
        <f>IFERROR(VLOOKUP(A56,CFR20212022_BenchMarkDataReport!$B$4:$CL$90,68,0),0)</f>
        <v>0</v>
      </c>
      <c r="AY56" s="258">
        <f>IFERROR(VLOOKUP(A56,CFR20212022_BenchMarkDataReport!$B$4:$CL$90,69,0),0)</f>
        <v>0</v>
      </c>
      <c r="AZ56" s="258">
        <f>IFERROR(VLOOKUP(A56,CFR20212022_BenchMarkDataReport!$B$4:$CL$90,70,0),0)</f>
        <v>6271</v>
      </c>
      <c r="BA56" s="258">
        <f>IFERROR(VLOOKUP(A56,CFR20212022_BenchMarkDataReport!$B$4:$CL$90,71,0),0)</f>
        <v>0</v>
      </c>
      <c r="BB56" s="258">
        <f>IFERROR(VLOOKUP(A56,CFR20212022_BenchMarkDataReport!$B$4:$CL$90,72,0),0)</f>
        <v>0</v>
      </c>
      <c r="BC56" s="259">
        <f t="shared" si="84"/>
        <v>2271080.4399999995</v>
      </c>
      <c r="BD56" s="260">
        <f t="shared" si="81"/>
        <v>2291380.0100000002</v>
      </c>
      <c r="BE56" s="300">
        <f t="shared" si="82"/>
        <v>-20299.570000000764</v>
      </c>
      <c r="BF56" s="258">
        <f>IFERROR(VLOOKUP(A56,CFR20212022_BenchMarkDataReport!$B$4:$CL$90,16,0),0)</f>
        <v>300149.23</v>
      </c>
      <c r="BG56" s="300">
        <f t="shared" si="83"/>
        <v>279849.65999999922</v>
      </c>
      <c r="BH56" s="261">
        <f>IFERROR(VLOOKUP(A56,'Pupil Nos BenchmarkData 21-22'!$A$6:$E$94,5,0),0)</f>
        <v>412</v>
      </c>
      <c r="BI56" s="260">
        <f t="shared" si="1"/>
        <v>1964152.15</v>
      </c>
      <c r="BJ56" s="227" t="s">
        <v>183</v>
      </c>
      <c r="BK56" s="262">
        <f t="shared" si="85"/>
        <v>0.80108721732463184</v>
      </c>
      <c r="BL56" s="263">
        <f t="shared" si="86"/>
        <v>4415.8580339805821</v>
      </c>
      <c r="BM56" s="264">
        <f t="shared" si="87"/>
        <v>0</v>
      </c>
      <c r="BN56" s="265">
        <f t="shared" si="88"/>
        <v>0</v>
      </c>
      <c r="BO56" s="262">
        <f t="shared" si="89"/>
        <v>6.3766407146723547E-2</v>
      </c>
      <c r="BP56" s="263">
        <f t="shared" si="90"/>
        <v>351.50155339805826</v>
      </c>
      <c r="BQ56" s="264">
        <f t="shared" si="91"/>
        <v>0</v>
      </c>
      <c r="BR56" s="265">
        <f t="shared" si="92"/>
        <v>0</v>
      </c>
      <c r="BS56" s="262">
        <f t="shared" si="93"/>
        <v>4.7226438179353972E-2</v>
      </c>
      <c r="BT56" s="263">
        <f t="shared" si="94"/>
        <v>260.32776699029125</v>
      </c>
      <c r="BU56" s="264">
        <f t="shared" si="95"/>
        <v>2.4937910169311314E-3</v>
      </c>
      <c r="BV56" s="265">
        <f t="shared" si="96"/>
        <v>13.746601941747574</v>
      </c>
      <c r="BW56" s="262">
        <f t="shared" si="97"/>
        <v>0</v>
      </c>
      <c r="BX56" s="263">
        <f t="shared" si="98"/>
        <v>0</v>
      </c>
      <c r="BY56" s="264">
        <f t="shared" si="99"/>
        <v>1.5218752005102915E-2</v>
      </c>
      <c r="BZ56" s="266">
        <f t="shared" si="100"/>
        <v>83.890800970873798</v>
      </c>
      <c r="CA56" s="267">
        <f t="shared" si="101"/>
        <v>1.1189674109473642E-2</v>
      </c>
      <c r="CB56" s="268">
        <f t="shared" si="102"/>
        <v>61.681189320388356</v>
      </c>
      <c r="CC56" s="264">
        <f t="shared" si="103"/>
        <v>6.1768838095404503E-4</v>
      </c>
      <c r="CD56" s="265">
        <f t="shared" si="104"/>
        <v>3.4049029126213592</v>
      </c>
      <c r="CE56" s="269">
        <f t="shared" si="105"/>
        <v>0.55862830178405476</v>
      </c>
      <c r="CF56" s="267">
        <f t="shared" si="106"/>
        <v>0.48313171153021783</v>
      </c>
      <c r="CG56" s="267">
        <f t="shared" si="107"/>
        <v>0.4788515982558475</v>
      </c>
      <c r="CH56" s="268">
        <f t="shared" si="108"/>
        <v>2663.1819902912621</v>
      </c>
      <c r="CI56" s="264">
        <f t="shared" si="109"/>
        <v>0.22192784810484259</v>
      </c>
      <c r="CJ56" s="270">
        <f t="shared" si="110"/>
        <v>0.19193510380460152</v>
      </c>
      <c r="CK56" s="270">
        <f t="shared" si="111"/>
        <v>0.19023473107806327</v>
      </c>
      <c r="CL56" s="271">
        <f t="shared" si="112"/>
        <v>1058.0098543689321</v>
      </c>
      <c r="CM56" s="269">
        <f t="shared" si="113"/>
        <v>3.5983240911352007E-2</v>
      </c>
      <c r="CN56" s="267">
        <f t="shared" si="114"/>
        <v>3.1120236322408738E-2</v>
      </c>
      <c r="CO56" s="267">
        <f t="shared" si="115"/>
        <v>3.0844538964097879E-2</v>
      </c>
      <c r="CP56" s="268">
        <f t="shared" si="116"/>
        <v>171.54504854368932</v>
      </c>
      <c r="CQ56" s="264">
        <f t="shared" si="117"/>
        <v>6.5840474731043624E-2</v>
      </c>
      <c r="CR56" s="270">
        <f t="shared" si="118"/>
        <v>5.6942373208057763E-2</v>
      </c>
      <c r="CS56" s="270">
        <f t="shared" si="119"/>
        <v>5.6437914896534332E-2</v>
      </c>
      <c r="CT56" s="265">
        <f t="shared" si="120"/>
        <v>313.88521844660198</v>
      </c>
      <c r="CU56" s="269">
        <f t="shared" si="121"/>
        <v>0.90194828338527655</v>
      </c>
      <c r="CV56" s="267">
        <f t="shared" si="122"/>
        <v>0.78005324197147352</v>
      </c>
      <c r="CW56" s="267">
        <f t="shared" si="123"/>
        <v>0.77314267047306573</v>
      </c>
      <c r="CX56" s="268">
        <f t="shared" si="124"/>
        <v>4299.9117961165048</v>
      </c>
      <c r="CY56" s="264">
        <f t="shared" si="125"/>
        <v>1.635368726399327E-2</v>
      </c>
      <c r="CZ56" s="270">
        <f t="shared" si="126"/>
        <v>1.4018246584947731E-2</v>
      </c>
      <c r="DA56" s="265">
        <f t="shared" si="127"/>
        <v>77.963907766990289</v>
      </c>
      <c r="DB56" s="269">
        <f t="shared" si="128"/>
        <v>4.5522566987917469E-3</v>
      </c>
      <c r="DC56" s="268">
        <f t="shared" si="129"/>
        <v>25.317839805825244</v>
      </c>
      <c r="DD56" s="264">
        <f t="shared" si="130"/>
        <v>1.8564172841701698E-2</v>
      </c>
      <c r="DE56" s="270">
        <f t="shared" si="131"/>
        <v>1.5913056691107295E-2</v>
      </c>
      <c r="DF56" s="265">
        <f t="shared" si="132"/>
        <v>88.50208737864078</v>
      </c>
      <c r="DG56" s="269">
        <f t="shared" si="133"/>
        <v>6.2500809827792624E-3</v>
      </c>
      <c r="DH56" s="267">
        <f t="shared" si="134"/>
        <v>5.3575181534380231E-3</v>
      </c>
      <c r="DI56" s="272">
        <f t="shared" si="135"/>
        <v>29.796383495145633</v>
      </c>
      <c r="DJ56" s="264">
        <f t="shared" si="136"/>
        <v>4.5289016943010248E-2</v>
      </c>
      <c r="DK56" s="270">
        <f t="shared" si="137"/>
        <v>3.9168370451907034E-2</v>
      </c>
      <c r="DL56" s="270">
        <f t="shared" si="138"/>
        <v>3.8821373849726476E-2</v>
      </c>
      <c r="DM56" s="265">
        <f t="shared" si="139"/>
        <v>215.9090291262136</v>
      </c>
      <c r="DN56" s="269">
        <f t="shared" si="140"/>
        <v>6.9253443527783733E-3</v>
      </c>
      <c r="DO56" s="267">
        <f t="shared" si="141"/>
        <v>5.936348375492723E-3</v>
      </c>
      <c r="DP56" s="268">
        <f t="shared" si="142"/>
        <v>33.015606796116508</v>
      </c>
      <c r="DQ56" s="264">
        <f t="shared" si="143"/>
        <v>3.6801609284698243E-2</v>
      </c>
      <c r="DR56" s="270">
        <f t="shared" si="144"/>
        <v>3.1546037621232453E-2</v>
      </c>
      <c r="DS56" s="265">
        <f t="shared" si="145"/>
        <v>175.44650485436895</v>
      </c>
      <c r="DT56" s="269">
        <f t="shared" si="146"/>
        <v>4.9916312222694131E-2</v>
      </c>
      <c r="DU56" s="268">
        <f t="shared" si="147"/>
        <v>277.61466019417475</v>
      </c>
      <c r="DV56" s="264">
        <f t="shared" si="2"/>
        <v>1.1836443488917405E-2</v>
      </c>
      <c r="DW56" s="265">
        <f t="shared" si="3"/>
        <v>65.829587378640781</v>
      </c>
      <c r="DX56" s="264">
        <f t="shared" si="148"/>
        <v>3.971179116648372E-5</v>
      </c>
      <c r="DY56" s="270">
        <f t="shared" si="149"/>
        <v>3.4344886524582994E-5</v>
      </c>
      <c r="DZ56" s="270">
        <f t="shared" si="150"/>
        <v>3.4040621660132225E-5</v>
      </c>
      <c r="EA56" s="265">
        <f t="shared" si="151"/>
        <v>0.18932038834951456</v>
      </c>
      <c r="EB56" s="273">
        <f>IFERROR(VLOOKUP(A56,'BARNET SCHS PUPIL PREMIUM Nos'!$E$31:$V$117,17,0),0)</f>
        <v>78</v>
      </c>
      <c r="EC56" s="258">
        <f>IFERROR(VLOOKUP(A56,CFR20212022_BenchMarkDataReport!$B$4:$CL$90,36,0),0)</f>
        <v>0</v>
      </c>
      <c r="ED56" s="258">
        <f>IFERROR(VLOOKUP(A56,CFR20212022_BenchMarkDataReport!$B$4:$CL$90,37,0),0)</f>
        <v>0</v>
      </c>
      <c r="EE56" s="258">
        <f>IFERROR(VLOOKUP(A56,CFR20212022_BenchMarkDataReport!$B$4:$CL$90,38,0),0)</f>
        <v>23700.62</v>
      </c>
      <c r="EF56" s="258">
        <f>IFERROR(VLOOKUP(A56,CFR20212022_BenchMarkDataReport!$B$4:$CL$90,39,0),0)</f>
        <v>67848</v>
      </c>
      <c r="EG56" s="227"/>
    </row>
    <row r="57" spans="1:137" s="5" customFormat="1">
      <c r="A57" s="147">
        <v>3501</v>
      </c>
      <c r="B57" s="298">
        <v>10085</v>
      </c>
      <c r="C57" s="147" t="s">
        <v>81</v>
      </c>
      <c r="D57" s="258">
        <f>IFERROR(VLOOKUP(A57,CFR20212022_BenchMarkDataReport!$B$4:$CL$90,19,0),0)</f>
        <v>1094521.6299999999</v>
      </c>
      <c r="E57" s="258">
        <f>IFERROR(VLOOKUP(A57,CFR20212022_BenchMarkDataReport!$B$4:$CL$90,20,0),0)</f>
        <v>0</v>
      </c>
      <c r="F57" s="258">
        <f>IFERROR(VLOOKUP(A57,CFR20212022_BenchMarkDataReport!$B$4:$CL$90,21,0),0)</f>
        <v>45077.56</v>
      </c>
      <c r="G57" s="258">
        <f>IFERROR(VLOOKUP(A57,CFR20212022_BenchMarkDataReport!$B$4:$CL$90,22,0),0)</f>
        <v>0</v>
      </c>
      <c r="H57" s="258">
        <f>IFERROR(VLOOKUP(A57,CFR20212022_BenchMarkDataReport!$B$4:$CL$90,23,0),0)</f>
        <v>48664.85</v>
      </c>
      <c r="I57" s="258">
        <f>IFERROR(VLOOKUP(A57,CFR20212022_BenchMarkDataReport!$B$4:$CL$90,24,0),0)</f>
        <v>0</v>
      </c>
      <c r="J57" s="258">
        <f>IFERROR(VLOOKUP(A57,CFR20212022_BenchMarkDataReport!$B$4:$CL$90,25,0),0)</f>
        <v>52761.32</v>
      </c>
      <c r="K57" s="258">
        <f>IFERROR(VLOOKUP(A57,CFR20212022_BenchMarkDataReport!$B$4:$CL$90,26,0),0)</f>
        <v>754.66</v>
      </c>
      <c r="L57" s="258">
        <f>IFERROR(VLOOKUP(A57,CFR20212022_BenchMarkDataReport!$B$4:$CL$90,27,0),0)</f>
        <v>27409.38</v>
      </c>
      <c r="M57" s="258">
        <f>IFERROR(VLOOKUP(A57,CFR20212022_BenchMarkDataReport!$B$4:$CL$90,28,0),0)</f>
        <v>21203.23</v>
      </c>
      <c r="N57" s="258">
        <f>IFERROR(VLOOKUP(A57,CFR20212022_BenchMarkDataReport!$B$4:$CL$90,29,0),0)</f>
        <v>3495</v>
      </c>
      <c r="O57" s="258">
        <f>IFERROR(VLOOKUP(A57,CFR20212022_BenchMarkDataReport!$B$4:$CL$90,30,0),0)</f>
        <v>535</v>
      </c>
      <c r="P57" s="258">
        <f>IFERROR(VLOOKUP(A57,CFR20212022_BenchMarkDataReport!$B$4:$CL$90,31,0),0)</f>
        <v>19311.240000000002</v>
      </c>
      <c r="Q57" s="258">
        <f>IFERROR(VLOOKUP(A57,CFR20212022_BenchMarkDataReport!$B$4:$CL$90,32,0),0)</f>
        <v>21304.34</v>
      </c>
      <c r="R57" s="258">
        <f>IFERROR(VLOOKUP(A57,CFR20212022_BenchMarkDataReport!$B$4:$CL$90,33,0),0)</f>
        <v>0</v>
      </c>
      <c r="S57" s="258">
        <f>IFERROR(VLOOKUP(A57,CFR20212022_BenchMarkDataReport!$B$4:$CL$90,34,0),0)</f>
        <v>0</v>
      </c>
      <c r="T57" s="258">
        <f>IFERROR(VLOOKUP(A57,CFR20212022_BenchMarkDataReport!$B$4:$CL$90,35,0),0)</f>
        <v>0</v>
      </c>
      <c r="U57" s="258">
        <f t="shared" si="0"/>
        <v>56715.45</v>
      </c>
      <c r="V57" s="258">
        <f>IFERROR(VLOOKUP(A57,CFR20212022_BenchMarkDataReport!$B$4:$CL$90,40,0),0)</f>
        <v>715235.4</v>
      </c>
      <c r="W57" s="258">
        <f>IFERROR(VLOOKUP(A57,CFR20212022_BenchMarkDataReport!$B$4:$CL$90,41,0),0)</f>
        <v>0</v>
      </c>
      <c r="X57" s="258">
        <f>IFERROR(VLOOKUP(A57,CFR20212022_BenchMarkDataReport!$B$4:$CL$90,42,0),0)</f>
        <v>214774.01</v>
      </c>
      <c r="Y57" s="258">
        <f>IFERROR(VLOOKUP(A57,CFR20212022_BenchMarkDataReport!$B$4:$CL$90,43,0),0)</f>
        <v>69522.09</v>
      </c>
      <c r="Z57" s="258">
        <f>IFERROR(VLOOKUP(A57,CFR20212022_BenchMarkDataReport!$B$4:$CL$90,44,0),0)</f>
        <v>72505.47</v>
      </c>
      <c r="AA57" s="258">
        <f>IFERROR(VLOOKUP(A57,CFR20212022_BenchMarkDataReport!$B$4:$CL$90,45,0),0)</f>
        <v>0</v>
      </c>
      <c r="AB57" s="258">
        <f>IFERROR(VLOOKUP(A57,CFR20212022_BenchMarkDataReport!$B$4:$CL$90,46,0),0)</f>
        <v>35425.39</v>
      </c>
      <c r="AC57" s="258">
        <f>IFERROR(VLOOKUP(A57,CFR20212022_BenchMarkDataReport!$B$4:$CL$90,47,0),0)</f>
        <v>7389.97</v>
      </c>
      <c r="AD57" s="258">
        <f>IFERROR(VLOOKUP(A57,CFR20212022_BenchMarkDataReport!$B$4:$CL$90,48,0),0)</f>
        <v>7752.78</v>
      </c>
      <c r="AE57" s="258">
        <f>IFERROR(VLOOKUP(A57,CFR20212022_BenchMarkDataReport!$B$4:$CL$90,49,0),0)</f>
        <v>7982.25</v>
      </c>
      <c r="AF57" s="258">
        <f>IFERROR(VLOOKUP(A57,CFR20212022_BenchMarkDataReport!$B$4:$CL$90,50,0),0)</f>
        <v>0</v>
      </c>
      <c r="AG57" s="258">
        <f>IFERROR(VLOOKUP(A57,CFR20212022_BenchMarkDataReport!$B$4:$CL$90,51,0),0)</f>
        <v>14950.65</v>
      </c>
      <c r="AH57" s="258">
        <f>IFERROR(VLOOKUP(A57,CFR20212022_BenchMarkDataReport!$B$4:$CL$90,52,0),0)</f>
        <v>1596.85</v>
      </c>
      <c r="AI57" s="258">
        <f>IFERROR(VLOOKUP(A57,CFR20212022_BenchMarkDataReport!$B$4:$CL$90,53,0),0)</f>
        <v>1786.35</v>
      </c>
      <c r="AJ57" s="258">
        <f>IFERROR(VLOOKUP(A57,CFR20212022_BenchMarkDataReport!$B$4:$CL$90,54,0),0)</f>
        <v>8681.33</v>
      </c>
      <c r="AK57" s="258">
        <f>IFERROR(VLOOKUP(A57,CFR20212022_BenchMarkDataReport!$B$4:$CL$90,55,0),0)</f>
        <v>24306.85</v>
      </c>
      <c r="AL57" s="258">
        <f>IFERROR(VLOOKUP(A57,CFR20212022_BenchMarkDataReport!$B$4:$CL$90,56,0),0)</f>
        <v>3826</v>
      </c>
      <c r="AM57" s="258">
        <f>IFERROR(VLOOKUP(A57,CFR20212022_BenchMarkDataReport!$B$4:$CL$90,57,0),0)</f>
        <v>7736.48</v>
      </c>
      <c r="AN57" s="258">
        <f>IFERROR(VLOOKUP(A57,CFR20212022_BenchMarkDataReport!$B$4:$CL$90,58,0),0)</f>
        <v>49082.6</v>
      </c>
      <c r="AO57" s="258">
        <f>IFERROR(VLOOKUP(A57,CFR20212022_BenchMarkDataReport!$B$4:$CL$90,59,0),0)</f>
        <v>15731.16</v>
      </c>
      <c r="AP57" s="258">
        <f>IFERROR(VLOOKUP(A57,CFR20212022_BenchMarkDataReport!$B$4:$CL$90,60,0),0)</f>
        <v>0</v>
      </c>
      <c r="AQ57" s="258">
        <f>IFERROR(VLOOKUP(A57,CFR20212022_BenchMarkDataReport!$B$4:$CL$90,61,0),0)</f>
        <v>24038.21</v>
      </c>
      <c r="AR57" s="258">
        <f>IFERROR(VLOOKUP(A57,CFR20212022_BenchMarkDataReport!$B$4:$CL$90,62,0),0)</f>
        <v>9005.41</v>
      </c>
      <c r="AS57" s="258">
        <f>IFERROR(VLOOKUP(A57,CFR20212022_BenchMarkDataReport!$B$4:$CL$90,63,0),0)</f>
        <v>4273.8</v>
      </c>
      <c r="AT57" s="258">
        <f>IFERROR(VLOOKUP(A57,CFR20212022_BenchMarkDataReport!$B$4:$CL$90,64,0),0)</f>
        <v>58620.12</v>
      </c>
      <c r="AU57" s="258">
        <f>IFERROR(VLOOKUP(A57,CFR20212022_BenchMarkDataReport!$B$4:$CL$90,65,0),0)</f>
        <v>61138.38</v>
      </c>
      <c r="AV57" s="258">
        <f>IFERROR(VLOOKUP(A57,CFR20212022_BenchMarkDataReport!$B$4:$CL$90,66,0),0)</f>
        <v>50738.44</v>
      </c>
      <c r="AW57" s="258">
        <f>IFERROR(VLOOKUP(A57,CFR20212022_BenchMarkDataReport!$B$4:$CL$90,67,0),0)</f>
        <v>34792.43</v>
      </c>
      <c r="AX57" s="258">
        <f>IFERROR(VLOOKUP(A57,CFR20212022_BenchMarkDataReport!$B$4:$CL$90,68,0),0)</f>
        <v>0</v>
      </c>
      <c r="AY57" s="258">
        <f>IFERROR(VLOOKUP(A57,CFR20212022_BenchMarkDataReport!$B$4:$CL$90,69,0),0)</f>
        <v>0</v>
      </c>
      <c r="AZ57" s="258">
        <f>IFERROR(VLOOKUP(A57,CFR20212022_BenchMarkDataReport!$B$4:$CL$90,70,0),0)</f>
        <v>0</v>
      </c>
      <c r="BA57" s="258">
        <f>IFERROR(VLOOKUP(A57,CFR20212022_BenchMarkDataReport!$B$4:$CL$90,71,0),0)</f>
        <v>0</v>
      </c>
      <c r="BB57" s="258">
        <f>IFERROR(VLOOKUP(A57,CFR20212022_BenchMarkDataReport!$B$4:$CL$90,72,0),0)</f>
        <v>0</v>
      </c>
      <c r="BC57" s="259">
        <f t="shared" si="84"/>
        <v>1391753.66</v>
      </c>
      <c r="BD57" s="260">
        <f t="shared" si="81"/>
        <v>1500892.42</v>
      </c>
      <c r="BE57" s="300">
        <f t="shared" si="82"/>
        <v>-109138.76000000001</v>
      </c>
      <c r="BF57" s="258">
        <f>IFERROR(VLOOKUP(A57,CFR20212022_BenchMarkDataReport!$B$4:$CL$90,16,0),0)</f>
        <v>60000.26</v>
      </c>
      <c r="BG57" s="300">
        <f t="shared" si="83"/>
        <v>-49138.500000000007</v>
      </c>
      <c r="BH57" s="261">
        <f>IFERROR(VLOOKUP(A57,'Pupil Nos BenchmarkData 21-22'!$A$6:$E$94,5,0),0)</f>
        <v>226.5</v>
      </c>
      <c r="BI57" s="260">
        <f t="shared" si="1"/>
        <v>1139599.19</v>
      </c>
      <c r="BJ57" s="227" t="s">
        <v>183</v>
      </c>
      <c r="BK57" s="262">
        <f t="shared" si="85"/>
        <v>0.7864334482871056</v>
      </c>
      <c r="BL57" s="263">
        <f t="shared" si="86"/>
        <v>4832.3250772626925</v>
      </c>
      <c r="BM57" s="264">
        <f t="shared" si="87"/>
        <v>0</v>
      </c>
      <c r="BN57" s="265">
        <f t="shared" si="88"/>
        <v>0</v>
      </c>
      <c r="BO57" s="262">
        <f t="shared" si="89"/>
        <v>3.238903643335847E-2</v>
      </c>
      <c r="BP57" s="263">
        <f t="shared" si="90"/>
        <v>199.01792494481236</v>
      </c>
      <c r="BQ57" s="264">
        <f t="shared" si="91"/>
        <v>0</v>
      </c>
      <c r="BR57" s="265">
        <f t="shared" si="92"/>
        <v>0</v>
      </c>
      <c r="BS57" s="262">
        <f t="shared" si="93"/>
        <v>3.4966568724525575E-2</v>
      </c>
      <c r="BT57" s="263">
        <f t="shared" si="94"/>
        <v>214.85584988962472</v>
      </c>
      <c r="BU57" s="264">
        <f t="shared" si="95"/>
        <v>0</v>
      </c>
      <c r="BV57" s="265">
        <f t="shared" si="96"/>
        <v>0</v>
      </c>
      <c r="BW57" s="262">
        <f t="shared" si="97"/>
        <v>3.7909955990343865E-2</v>
      </c>
      <c r="BX57" s="263">
        <f t="shared" si="98"/>
        <v>232.9418101545254</v>
      </c>
      <c r="BY57" s="264">
        <f t="shared" si="99"/>
        <v>2.0236368553900555E-2</v>
      </c>
      <c r="BZ57" s="266">
        <f t="shared" si="100"/>
        <v>124.34454746136866</v>
      </c>
      <c r="CA57" s="267">
        <f t="shared" si="101"/>
        <v>1.3875472761465562E-2</v>
      </c>
      <c r="CB57" s="268">
        <f t="shared" si="102"/>
        <v>85.259337748344379</v>
      </c>
      <c r="CC57" s="264">
        <f t="shared" si="103"/>
        <v>1.5307550906674103E-2</v>
      </c>
      <c r="CD57" s="265">
        <f t="shared" si="104"/>
        <v>94.058896247240625</v>
      </c>
      <c r="CE57" s="269">
        <f t="shared" si="105"/>
        <v>0.6812691574482429</v>
      </c>
      <c r="CF57" s="267">
        <f t="shared" si="106"/>
        <v>0.55783850426518733</v>
      </c>
      <c r="CG57" s="267">
        <f t="shared" si="107"/>
        <v>0.51727476910037296</v>
      </c>
      <c r="CH57" s="268">
        <f t="shared" si="108"/>
        <v>3427.6988079470202</v>
      </c>
      <c r="CI57" s="264">
        <f t="shared" si="109"/>
        <v>0.18846451619538271</v>
      </c>
      <c r="CJ57" s="270">
        <f t="shared" si="110"/>
        <v>0.15431898343274342</v>
      </c>
      <c r="CK57" s="270">
        <f t="shared" si="111"/>
        <v>0.14309753793013361</v>
      </c>
      <c r="CL57" s="271">
        <f t="shared" si="112"/>
        <v>948.22962472406186</v>
      </c>
      <c r="CM57" s="269">
        <f t="shared" si="113"/>
        <v>6.1005738342092011E-2</v>
      </c>
      <c r="CN57" s="267">
        <f t="shared" si="114"/>
        <v>4.9952870251478265E-2</v>
      </c>
      <c r="CO57" s="267">
        <f t="shared" si="115"/>
        <v>4.6320501771872497E-2</v>
      </c>
      <c r="CP57" s="268">
        <f t="shared" si="116"/>
        <v>306.94079470198676</v>
      </c>
      <c r="CQ57" s="264">
        <f t="shared" si="117"/>
        <v>6.362365877076484E-2</v>
      </c>
      <c r="CR57" s="270">
        <f t="shared" si="118"/>
        <v>5.2096482361684612E-2</v>
      </c>
      <c r="CS57" s="270">
        <f t="shared" si="119"/>
        <v>4.8308239174130817E-2</v>
      </c>
      <c r="CT57" s="265">
        <f t="shared" si="120"/>
        <v>320.11245033112584</v>
      </c>
      <c r="CU57" s="269">
        <f t="shared" si="121"/>
        <v>0.97179988343094548</v>
      </c>
      <c r="CV57" s="267">
        <f t="shared" si="122"/>
        <v>0.79573159520198422</v>
      </c>
      <c r="CW57" s="267">
        <f t="shared" si="123"/>
        <v>0.73786924715097169</v>
      </c>
      <c r="CX57" s="268">
        <f t="shared" si="124"/>
        <v>4889.4585430463567</v>
      </c>
      <c r="CY57" s="264">
        <f t="shared" si="125"/>
        <v>1.3119217819029865E-2</v>
      </c>
      <c r="CZ57" s="270">
        <f t="shared" si="126"/>
        <v>9.9611736329509887E-3</v>
      </c>
      <c r="DA57" s="265">
        <f t="shared" si="127"/>
        <v>66.007284768211917</v>
      </c>
      <c r="DB57" s="269">
        <f t="shared" si="128"/>
        <v>5.7841120951227136E-3</v>
      </c>
      <c r="DC57" s="268">
        <f t="shared" si="129"/>
        <v>38.328167770419427</v>
      </c>
      <c r="DD57" s="264">
        <f t="shared" si="130"/>
        <v>2.1329297364628699E-2</v>
      </c>
      <c r="DE57" s="270">
        <f t="shared" si="131"/>
        <v>1.6194931546126404E-2</v>
      </c>
      <c r="DF57" s="265">
        <f t="shared" si="132"/>
        <v>107.31501103752758</v>
      </c>
      <c r="DG57" s="269">
        <f t="shared" si="133"/>
        <v>6.7887728140628113E-3</v>
      </c>
      <c r="DH57" s="267">
        <f t="shared" si="134"/>
        <v>5.1545866292002458E-3</v>
      </c>
      <c r="DI57" s="272">
        <f t="shared" si="135"/>
        <v>34.156644591611474</v>
      </c>
      <c r="DJ57" s="264">
        <f t="shared" si="136"/>
        <v>4.307005518317366E-2</v>
      </c>
      <c r="DK57" s="270">
        <f t="shared" si="137"/>
        <v>3.5266729602133756E-2</v>
      </c>
      <c r="DL57" s="270">
        <f t="shared" si="138"/>
        <v>3.2702277222507396E-2</v>
      </c>
      <c r="DM57" s="265">
        <f t="shared" si="139"/>
        <v>216.70022075055186</v>
      </c>
      <c r="DN57" s="269">
        <f t="shared" si="140"/>
        <v>2.1093565361344283E-2</v>
      </c>
      <c r="DO57" s="267">
        <f t="shared" si="141"/>
        <v>1.6015944700420302E-2</v>
      </c>
      <c r="DP57" s="268">
        <f t="shared" si="142"/>
        <v>106.12896247240617</v>
      </c>
      <c r="DQ57" s="264">
        <f t="shared" si="143"/>
        <v>4.4523057268933304E-2</v>
      </c>
      <c r="DR57" s="270">
        <f t="shared" si="144"/>
        <v>3.380551418868516E-2</v>
      </c>
      <c r="DS57" s="265">
        <f t="shared" si="145"/>
        <v>224.01077262693158</v>
      </c>
      <c r="DT57" s="269">
        <f t="shared" si="146"/>
        <v>3.9056843261291177E-2</v>
      </c>
      <c r="DU57" s="268">
        <f t="shared" si="147"/>
        <v>258.80847682119207</v>
      </c>
      <c r="DV57" s="264">
        <f t="shared" si="2"/>
        <v>1.1901918992968197E-3</v>
      </c>
      <c r="DW57" s="265">
        <f t="shared" si="3"/>
        <v>7.8867549668874171</v>
      </c>
      <c r="DX57" s="264">
        <f t="shared" si="148"/>
        <v>2.7202546537436555E-5</v>
      </c>
      <c r="DY57" s="270">
        <f t="shared" si="149"/>
        <v>2.2274056746507857E-5</v>
      </c>
      <c r="DZ57" s="270">
        <f t="shared" si="150"/>
        <v>2.0654378413077734E-5</v>
      </c>
      <c r="EA57" s="265">
        <f t="shared" si="151"/>
        <v>0.13686534216335541</v>
      </c>
      <c r="EB57" s="273">
        <f>IFERROR(VLOOKUP(A57,'BARNET SCHS PUPIL PREMIUM Nos'!$E$31:$V$117,17,0),0)</f>
        <v>31</v>
      </c>
      <c r="EC57" s="258">
        <f>IFERROR(VLOOKUP(A57,CFR20212022_BenchMarkDataReport!$B$4:$CL$90,36,0),0)</f>
        <v>0</v>
      </c>
      <c r="ED57" s="258">
        <f>IFERROR(VLOOKUP(A57,CFR20212022_BenchMarkDataReport!$B$4:$CL$90,37,0),0)</f>
        <v>0</v>
      </c>
      <c r="EE57" s="258">
        <f>IFERROR(VLOOKUP(A57,CFR20212022_BenchMarkDataReport!$B$4:$CL$90,38,0),0)</f>
        <v>0</v>
      </c>
      <c r="EF57" s="258">
        <f>IFERROR(VLOOKUP(A57,CFR20212022_BenchMarkDataReport!$B$4:$CL$90,39,0),0)</f>
        <v>56715.45</v>
      </c>
      <c r="EG57" s="227"/>
    </row>
    <row r="58" spans="1:137" s="5" customFormat="1">
      <c r="A58" s="147">
        <v>2078</v>
      </c>
      <c r="B58" s="298">
        <v>10129</v>
      </c>
      <c r="C58" s="147" t="s">
        <v>82</v>
      </c>
      <c r="D58" s="258">
        <f>IFERROR(VLOOKUP(A58,CFR20212022_BenchMarkDataReport!$B$4:$CL$90,19,0),0)</f>
        <v>1490492.11</v>
      </c>
      <c r="E58" s="258">
        <f>IFERROR(VLOOKUP(A58,CFR20212022_BenchMarkDataReport!$B$4:$CL$90,20,0),0)</f>
        <v>0</v>
      </c>
      <c r="F58" s="258">
        <f>IFERROR(VLOOKUP(A58,CFR20212022_BenchMarkDataReport!$B$4:$CL$90,21,0),0)</f>
        <v>75276.38</v>
      </c>
      <c r="G58" s="258">
        <f>IFERROR(VLOOKUP(A58,CFR20212022_BenchMarkDataReport!$B$4:$CL$90,22,0),0)</f>
        <v>0</v>
      </c>
      <c r="H58" s="258">
        <f>IFERROR(VLOOKUP(A58,CFR20212022_BenchMarkDataReport!$B$4:$CL$90,23,0),0)</f>
        <v>33625.019999999997</v>
      </c>
      <c r="I58" s="258">
        <f>IFERROR(VLOOKUP(A58,CFR20212022_BenchMarkDataReport!$B$4:$CL$90,24,0),0)</f>
        <v>56842.25</v>
      </c>
      <c r="J58" s="258">
        <f>IFERROR(VLOOKUP(A58,CFR20212022_BenchMarkDataReport!$B$4:$CL$90,25,0),0)</f>
        <v>0</v>
      </c>
      <c r="K58" s="258">
        <f>IFERROR(VLOOKUP(A58,CFR20212022_BenchMarkDataReport!$B$4:$CL$90,26,0),0)</f>
        <v>0</v>
      </c>
      <c r="L58" s="258">
        <f>IFERROR(VLOOKUP(A58,CFR20212022_BenchMarkDataReport!$B$4:$CL$90,27,0),0)</f>
        <v>26189.75</v>
      </c>
      <c r="M58" s="258">
        <f>IFERROR(VLOOKUP(A58,CFR20212022_BenchMarkDataReport!$B$4:$CL$90,28,0),0)</f>
        <v>940.8</v>
      </c>
      <c r="N58" s="258">
        <f>IFERROR(VLOOKUP(A58,CFR20212022_BenchMarkDataReport!$B$4:$CL$90,29,0),0)</f>
        <v>22728</v>
      </c>
      <c r="O58" s="258">
        <f>IFERROR(VLOOKUP(A58,CFR20212022_BenchMarkDataReport!$B$4:$CL$90,30,0),0)</f>
        <v>0</v>
      </c>
      <c r="P58" s="258">
        <f>IFERROR(VLOOKUP(A58,CFR20212022_BenchMarkDataReport!$B$4:$CL$90,31,0),0)</f>
        <v>16139</v>
      </c>
      <c r="Q58" s="258">
        <f>IFERROR(VLOOKUP(A58,CFR20212022_BenchMarkDataReport!$B$4:$CL$90,32,0),0)</f>
        <v>300357.45</v>
      </c>
      <c r="R58" s="258">
        <f>IFERROR(VLOOKUP(A58,CFR20212022_BenchMarkDataReport!$B$4:$CL$90,33,0),0)</f>
        <v>0</v>
      </c>
      <c r="S58" s="258">
        <f>IFERROR(VLOOKUP(A58,CFR20212022_BenchMarkDataReport!$B$4:$CL$90,34,0),0)</f>
        <v>0</v>
      </c>
      <c r="T58" s="258">
        <f>IFERROR(VLOOKUP(A58,CFR20212022_BenchMarkDataReport!$B$4:$CL$90,35,0),0)</f>
        <v>0</v>
      </c>
      <c r="U58" s="258">
        <f t="shared" si="0"/>
        <v>80792.88</v>
      </c>
      <c r="V58" s="258">
        <f>IFERROR(VLOOKUP(A58,CFR20212022_BenchMarkDataReport!$B$4:$CL$90,40,0),0)</f>
        <v>957193.16</v>
      </c>
      <c r="W58" s="258">
        <f>IFERROR(VLOOKUP(A58,CFR20212022_BenchMarkDataReport!$B$4:$CL$90,41,0),0)</f>
        <v>0</v>
      </c>
      <c r="X58" s="258">
        <f>IFERROR(VLOOKUP(A58,CFR20212022_BenchMarkDataReport!$B$4:$CL$90,42,0),0)</f>
        <v>326569.07</v>
      </c>
      <c r="Y58" s="258">
        <f>IFERROR(VLOOKUP(A58,CFR20212022_BenchMarkDataReport!$B$4:$CL$90,43,0),0)</f>
        <v>0</v>
      </c>
      <c r="Z58" s="258">
        <f>IFERROR(VLOOKUP(A58,CFR20212022_BenchMarkDataReport!$B$4:$CL$90,44,0),0)</f>
        <v>165398.95000000001</v>
      </c>
      <c r="AA58" s="258">
        <f>IFERROR(VLOOKUP(A58,CFR20212022_BenchMarkDataReport!$B$4:$CL$90,45,0),0)</f>
        <v>0</v>
      </c>
      <c r="AB58" s="258">
        <f>IFERROR(VLOOKUP(A58,CFR20212022_BenchMarkDataReport!$B$4:$CL$90,46,0),0)</f>
        <v>31288.74</v>
      </c>
      <c r="AC58" s="258">
        <f>IFERROR(VLOOKUP(A58,CFR20212022_BenchMarkDataReport!$B$4:$CL$90,47,0),0)</f>
        <v>2702.63</v>
      </c>
      <c r="AD58" s="258">
        <f>IFERROR(VLOOKUP(A58,CFR20212022_BenchMarkDataReport!$B$4:$CL$90,48,0),0)</f>
        <v>4832.71</v>
      </c>
      <c r="AE58" s="258">
        <f>IFERROR(VLOOKUP(A58,CFR20212022_BenchMarkDataReport!$B$4:$CL$90,49,0),0)</f>
        <v>29389.01</v>
      </c>
      <c r="AF58" s="258">
        <f>IFERROR(VLOOKUP(A58,CFR20212022_BenchMarkDataReport!$B$4:$CL$90,50,0),0)</f>
        <v>0</v>
      </c>
      <c r="AG58" s="258">
        <f>IFERROR(VLOOKUP(A58,CFR20212022_BenchMarkDataReport!$B$4:$CL$90,51,0),0)</f>
        <v>19577.66</v>
      </c>
      <c r="AH58" s="258">
        <f>IFERROR(VLOOKUP(A58,CFR20212022_BenchMarkDataReport!$B$4:$CL$90,52,0),0)</f>
        <v>0</v>
      </c>
      <c r="AI58" s="258">
        <f>IFERROR(VLOOKUP(A58,CFR20212022_BenchMarkDataReport!$B$4:$CL$90,53,0),0)</f>
        <v>32796.239999999998</v>
      </c>
      <c r="AJ58" s="258">
        <f>IFERROR(VLOOKUP(A58,CFR20212022_BenchMarkDataReport!$B$4:$CL$90,54,0),0)</f>
        <v>2619.02</v>
      </c>
      <c r="AK58" s="258">
        <f>IFERROR(VLOOKUP(A58,CFR20212022_BenchMarkDataReport!$B$4:$CL$90,55,0),0)</f>
        <v>41159.599999999999</v>
      </c>
      <c r="AL58" s="258">
        <f>IFERROR(VLOOKUP(A58,CFR20212022_BenchMarkDataReport!$B$4:$CL$90,56,0),0)</f>
        <v>19152</v>
      </c>
      <c r="AM58" s="258">
        <f>IFERROR(VLOOKUP(A58,CFR20212022_BenchMarkDataReport!$B$4:$CL$90,57,0),0)</f>
        <v>65743.34</v>
      </c>
      <c r="AN58" s="258">
        <f>IFERROR(VLOOKUP(A58,CFR20212022_BenchMarkDataReport!$B$4:$CL$90,58,0),0)</f>
        <v>93928.08</v>
      </c>
      <c r="AO58" s="258">
        <f>IFERROR(VLOOKUP(A58,CFR20212022_BenchMarkDataReport!$B$4:$CL$90,59,0),0)</f>
        <v>7219.19</v>
      </c>
      <c r="AP58" s="258">
        <f>IFERROR(VLOOKUP(A58,CFR20212022_BenchMarkDataReport!$B$4:$CL$90,60,0),0)</f>
        <v>0</v>
      </c>
      <c r="AQ58" s="258">
        <f>IFERROR(VLOOKUP(A58,CFR20212022_BenchMarkDataReport!$B$4:$CL$90,61,0),0)</f>
        <v>9257.94</v>
      </c>
      <c r="AR58" s="258">
        <f>IFERROR(VLOOKUP(A58,CFR20212022_BenchMarkDataReport!$B$4:$CL$90,62,0),0)</f>
        <v>3086.76</v>
      </c>
      <c r="AS58" s="258">
        <f>IFERROR(VLOOKUP(A58,CFR20212022_BenchMarkDataReport!$B$4:$CL$90,63,0),0)</f>
        <v>19586.3</v>
      </c>
      <c r="AT58" s="258">
        <f>IFERROR(VLOOKUP(A58,CFR20212022_BenchMarkDataReport!$B$4:$CL$90,64,0),0)</f>
        <v>40564.6</v>
      </c>
      <c r="AU58" s="258">
        <f>IFERROR(VLOOKUP(A58,CFR20212022_BenchMarkDataReport!$B$4:$CL$90,65,0),0)</f>
        <v>95249.71</v>
      </c>
      <c r="AV58" s="258">
        <f>IFERROR(VLOOKUP(A58,CFR20212022_BenchMarkDataReport!$B$4:$CL$90,66,0),0)</f>
        <v>65837.070000000007</v>
      </c>
      <c r="AW58" s="258">
        <f>IFERROR(VLOOKUP(A58,CFR20212022_BenchMarkDataReport!$B$4:$CL$90,67,0),0)</f>
        <v>20912.38</v>
      </c>
      <c r="AX58" s="258">
        <f>IFERROR(VLOOKUP(A58,CFR20212022_BenchMarkDataReport!$B$4:$CL$90,68,0),0)</f>
        <v>0</v>
      </c>
      <c r="AY58" s="258">
        <f>IFERROR(VLOOKUP(A58,CFR20212022_BenchMarkDataReport!$B$4:$CL$90,69,0),0)</f>
        <v>0</v>
      </c>
      <c r="AZ58" s="258">
        <f>IFERROR(VLOOKUP(A58,CFR20212022_BenchMarkDataReport!$B$4:$CL$90,70,0),0)</f>
        <v>0</v>
      </c>
      <c r="BA58" s="258">
        <f>IFERROR(VLOOKUP(A58,CFR20212022_BenchMarkDataReport!$B$4:$CL$90,71,0),0)</f>
        <v>0</v>
      </c>
      <c r="BB58" s="258">
        <f>IFERROR(VLOOKUP(A58,CFR20212022_BenchMarkDataReport!$B$4:$CL$90,72,0),0)</f>
        <v>0</v>
      </c>
      <c r="BC58" s="259">
        <f t="shared" si="84"/>
        <v>2103383.64</v>
      </c>
      <c r="BD58" s="260">
        <f t="shared" si="81"/>
        <v>2054064.16</v>
      </c>
      <c r="BE58" s="300">
        <f t="shared" si="82"/>
        <v>49319.480000000214</v>
      </c>
      <c r="BF58" s="258">
        <f>IFERROR(VLOOKUP(A58,CFR20212022_BenchMarkDataReport!$B$4:$CL$90,16,0),0)</f>
        <v>-288742.78999999998</v>
      </c>
      <c r="BG58" s="300">
        <f t="shared" si="83"/>
        <v>-239423.30999999976</v>
      </c>
      <c r="BH58" s="261">
        <f>IFERROR(VLOOKUP(A58,'Pupil Nos BenchmarkData 21-22'!$A$6:$E$94,5,0),0)</f>
        <v>355</v>
      </c>
      <c r="BI58" s="260">
        <f t="shared" si="1"/>
        <v>1565768.4900000002</v>
      </c>
      <c r="BJ58" s="227" t="s">
        <v>183</v>
      </c>
      <c r="BK58" s="262">
        <f t="shared" si="85"/>
        <v>0.70861638440812447</v>
      </c>
      <c r="BL58" s="263">
        <f t="shared" si="86"/>
        <v>4198.5693239436623</v>
      </c>
      <c r="BM58" s="264">
        <f t="shared" si="87"/>
        <v>0</v>
      </c>
      <c r="BN58" s="265">
        <f t="shared" si="88"/>
        <v>0</v>
      </c>
      <c r="BO58" s="262">
        <f t="shared" si="89"/>
        <v>3.5788231194952148E-2</v>
      </c>
      <c r="BP58" s="263">
        <f t="shared" si="90"/>
        <v>212.04614084507043</v>
      </c>
      <c r="BQ58" s="264">
        <f t="shared" si="91"/>
        <v>0</v>
      </c>
      <c r="BR58" s="265">
        <f t="shared" si="92"/>
        <v>0</v>
      </c>
      <c r="BS58" s="262">
        <f t="shared" si="93"/>
        <v>1.5986156476904038E-2</v>
      </c>
      <c r="BT58" s="263">
        <f t="shared" si="94"/>
        <v>94.718366197183087</v>
      </c>
      <c r="BU58" s="264">
        <f t="shared" si="95"/>
        <v>2.7024195167744101E-2</v>
      </c>
      <c r="BV58" s="265">
        <f t="shared" si="96"/>
        <v>160.11901408450703</v>
      </c>
      <c r="BW58" s="262">
        <f t="shared" si="97"/>
        <v>0</v>
      </c>
      <c r="BX58" s="263">
        <f t="shared" si="98"/>
        <v>0</v>
      </c>
      <c r="BY58" s="264">
        <f t="shared" si="99"/>
        <v>1.2451247362559119E-2</v>
      </c>
      <c r="BZ58" s="266">
        <f t="shared" si="100"/>
        <v>73.773943661971828</v>
      </c>
      <c r="CA58" s="267">
        <f t="shared" si="101"/>
        <v>7.6728751203941088E-3</v>
      </c>
      <c r="CB58" s="268">
        <f t="shared" si="102"/>
        <v>45.461971830985917</v>
      </c>
      <c r="CC58" s="264">
        <f t="shared" si="103"/>
        <v>0.14279727401511974</v>
      </c>
      <c r="CD58" s="265">
        <f t="shared" si="104"/>
        <v>846.07732394366201</v>
      </c>
      <c r="CE58" s="269">
        <f t="shared" si="105"/>
        <v>0.67215739537586427</v>
      </c>
      <c r="CF58" s="267">
        <f t="shared" si="106"/>
        <v>0.50035706752953546</v>
      </c>
      <c r="CG58" s="267">
        <f t="shared" si="107"/>
        <v>0.51237098163477046</v>
      </c>
      <c r="CH58" s="268">
        <f t="shared" si="108"/>
        <v>2964.6278028169017</v>
      </c>
      <c r="CI58" s="264">
        <f t="shared" si="109"/>
        <v>0.20856791542662859</v>
      </c>
      <c r="CJ58" s="270">
        <f t="shared" si="110"/>
        <v>0.15525891891029445</v>
      </c>
      <c r="CK58" s="270">
        <f t="shared" si="111"/>
        <v>0.1589867913376182</v>
      </c>
      <c r="CL58" s="271">
        <f t="shared" si="112"/>
        <v>919.91287323943664</v>
      </c>
      <c r="CM58" s="269">
        <f t="shared" si="113"/>
        <v>0</v>
      </c>
      <c r="CN58" s="267">
        <f t="shared" si="114"/>
        <v>0</v>
      </c>
      <c r="CO58" s="267">
        <f t="shared" si="115"/>
        <v>0</v>
      </c>
      <c r="CP58" s="268">
        <f t="shared" si="116"/>
        <v>0</v>
      </c>
      <c r="CQ58" s="264">
        <f t="shared" si="117"/>
        <v>0.10563435849957613</v>
      </c>
      <c r="CR58" s="270">
        <f t="shared" si="118"/>
        <v>7.8634704033354569E-2</v>
      </c>
      <c r="CS58" s="270">
        <f t="shared" si="119"/>
        <v>8.0522776854253672E-2</v>
      </c>
      <c r="CT58" s="265">
        <f t="shared" si="120"/>
        <v>465.91253521126765</v>
      </c>
      <c r="CU58" s="269">
        <f t="shared" si="121"/>
        <v>0.94551009900576022</v>
      </c>
      <c r="CV58" s="267">
        <f t="shared" si="122"/>
        <v>0.70384208179920993</v>
      </c>
      <c r="CW58" s="267">
        <f t="shared" si="123"/>
        <v>0.72074180973976976</v>
      </c>
      <c r="CX58" s="268">
        <f t="shared" si="124"/>
        <v>4170.2814647887326</v>
      </c>
      <c r="CY58" s="264">
        <f t="shared" si="125"/>
        <v>1.2503547060140415E-2</v>
      </c>
      <c r="CZ58" s="270">
        <f t="shared" si="126"/>
        <v>9.5311823171093154E-3</v>
      </c>
      <c r="DA58" s="265">
        <f t="shared" si="127"/>
        <v>55.148338028169015</v>
      </c>
      <c r="DB58" s="269">
        <f t="shared" si="128"/>
        <v>1.2750429373150642E-3</v>
      </c>
      <c r="DC58" s="268">
        <f t="shared" si="129"/>
        <v>7.3775211267605636</v>
      </c>
      <c r="DD58" s="264">
        <f t="shared" si="130"/>
        <v>2.6287155644574244E-2</v>
      </c>
      <c r="DE58" s="270">
        <f t="shared" si="131"/>
        <v>2.0038127728201051E-2</v>
      </c>
      <c r="DF58" s="265">
        <f t="shared" si="132"/>
        <v>115.9425352112676</v>
      </c>
      <c r="DG58" s="269">
        <f t="shared" si="133"/>
        <v>4.1987905887670526E-2</v>
      </c>
      <c r="DH58" s="267">
        <f t="shared" si="134"/>
        <v>3.2006468580806163E-2</v>
      </c>
      <c r="DI58" s="272">
        <f t="shared" si="135"/>
        <v>185.19250704225351</v>
      </c>
      <c r="DJ58" s="264">
        <f t="shared" si="136"/>
        <v>5.9988485270897222E-2</v>
      </c>
      <c r="DK58" s="270">
        <f t="shared" si="137"/>
        <v>4.4655705318693076E-2</v>
      </c>
      <c r="DL58" s="270">
        <f t="shared" si="138"/>
        <v>4.5727919229163708E-2</v>
      </c>
      <c r="DM58" s="265">
        <f t="shared" si="139"/>
        <v>264.58614084507042</v>
      </c>
      <c r="DN58" s="269">
        <f t="shared" si="140"/>
        <v>5.9127131878864156E-3</v>
      </c>
      <c r="DO58" s="267">
        <f t="shared" si="141"/>
        <v>4.5071328249065021E-3</v>
      </c>
      <c r="DP58" s="268">
        <f t="shared" si="142"/>
        <v>26.078704225352116</v>
      </c>
      <c r="DQ58" s="264">
        <f t="shared" si="143"/>
        <v>4.204776786637212E-2</v>
      </c>
      <c r="DR58" s="270">
        <f t="shared" si="144"/>
        <v>3.2052100066825573E-2</v>
      </c>
      <c r="DS58" s="265">
        <f t="shared" si="145"/>
        <v>185.45653521126764</v>
      </c>
      <c r="DT58" s="269">
        <f t="shared" si="146"/>
        <v>1.9748458100744038E-2</v>
      </c>
      <c r="DU58" s="268">
        <f t="shared" si="147"/>
        <v>114.26647887323944</v>
      </c>
      <c r="DV58" s="264">
        <f t="shared" si="2"/>
        <v>1.5966511971076892E-2</v>
      </c>
      <c r="DW58" s="265">
        <f t="shared" si="3"/>
        <v>92.383774647887321</v>
      </c>
      <c r="DX58" s="264">
        <f t="shared" si="148"/>
        <v>1.5966600528536627E-5</v>
      </c>
      <c r="DY58" s="270">
        <f t="shared" si="149"/>
        <v>1.1885611128933189E-5</v>
      </c>
      <c r="DZ58" s="270">
        <f t="shared" si="150"/>
        <v>1.2170992750294616E-5</v>
      </c>
      <c r="EA58" s="265">
        <f t="shared" si="151"/>
        <v>7.0422535211267609E-2</v>
      </c>
      <c r="EB58" s="273">
        <f>IFERROR(VLOOKUP(A58,'BARNET SCHS PUPIL PREMIUM Nos'!$E$31:$V$117,17,0),0)</f>
        <v>25</v>
      </c>
      <c r="EC58" s="258">
        <f>IFERROR(VLOOKUP(A58,CFR20212022_BenchMarkDataReport!$B$4:$CL$90,36,0),0)</f>
        <v>0</v>
      </c>
      <c r="ED58" s="258">
        <f>IFERROR(VLOOKUP(A58,CFR20212022_BenchMarkDataReport!$B$4:$CL$90,37,0),0)</f>
        <v>0</v>
      </c>
      <c r="EE58" s="258">
        <f>IFERROR(VLOOKUP(A58,CFR20212022_BenchMarkDataReport!$B$4:$CL$90,38,0),0)</f>
        <v>0</v>
      </c>
      <c r="EF58" s="258">
        <f>IFERROR(VLOOKUP(A58,CFR20212022_BenchMarkDataReport!$B$4:$CL$90,39,0),0)</f>
        <v>80792.88</v>
      </c>
      <c r="EG58" s="227"/>
    </row>
    <row r="59" spans="1:137" s="5" customFormat="1">
      <c r="A59" s="147">
        <v>2072</v>
      </c>
      <c r="B59" s="298">
        <v>10086</v>
      </c>
      <c r="C59" s="255" t="s">
        <v>487</v>
      </c>
      <c r="D59" s="258">
        <f>IFERROR(VLOOKUP(A59,CFR20212022_BenchMarkDataReport!$B$4:$CL$90,19,0),0)</f>
        <v>2849715.52</v>
      </c>
      <c r="E59" s="258">
        <f>IFERROR(VLOOKUP(A59,CFR20212022_BenchMarkDataReport!$B$4:$CL$90,20,0),0)</f>
        <v>0</v>
      </c>
      <c r="F59" s="258">
        <f>IFERROR(VLOOKUP(A59,CFR20212022_BenchMarkDataReport!$B$4:$CL$90,21,0),0)</f>
        <v>161892.21</v>
      </c>
      <c r="G59" s="258">
        <f>IFERROR(VLOOKUP(A59,CFR20212022_BenchMarkDataReport!$B$4:$CL$90,22,0),0)</f>
        <v>0</v>
      </c>
      <c r="H59" s="258">
        <f>IFERROR(VLOOKUP(A59,CFR20212022_BenchMarkDataReport!$B$4:$CL$90,23,0),0)</f>
        <v>209005.05</v>
      </c>
      <c r="I59" s="258">
        <f>IFERROR(VLOOKUP(A59,CFR20212022_BenchMarkDataReport!$B$4:$CL$90,24,0),0)</f>
        <v>10827.64</v>
      </c>
      <c r="J59" s="258">
        <f>IFERROR(VLOOKUP(A59,CFR20212022_BenchMarkDataReport!$B$4:$CL$90,25,0),0)</f>
        <v>6667</v>
      </c>
      <c r="K59" s="258">
        <f>IFERROR(VLOOKUP(A59,CFR20212022_BenchMarkDataReport!$B$4:$CL$90,26,0),0)</f>
        <v>42588.55</v>
      </c>
      <c r="L59" s="258">
        <f>IFERROR(VLOOKUP(A59,CFR20212022_BenchMarkDataReport!$B$4:$CL$90,27,0),0)</f>
        <v>86522.84</v>
      </c>
      <c r="M59" s="258">
        <f>IFERROR(VLOOKUP(A59,CFR20212022_BenchMarkDataReport!$B$4:$CL$90,28,0),0)</f>
        <v>43221.279999999999</v>
      </c>
      <c r="N59" s="258">
        <f>IFERROR(VLOOKUP(A59,CFR20212022_BenchMarkDataReport!$B$4:$CL$90,29,0),0)</f>
        <v>1321.25</v>
      </c>
      <c r="O59" s="258">
        <f>IFERROR(VLOOKUP(A59,CFR20212022_BenchMarkDataReport!$B$4:$CL$90,30,0),0)</f>
        <v>2045.05</v>
      </c>
      <c r="P59" s="258">
        <f>IFERROR(VLOOKUP(A59,CFR20212022_BenchMarkDataReport!$B$4:$CL$90,31,0),0)</f>
        <v>12728.2</v>
      </c>
      <c r="Q59" s="258">
        <f>IFERROR(VLOOKUP(A59,CFR20212022_BenchMarkDataReport!$B$4:$CL$90,32,0),0)</f>
        <v>16205.43</v>
      </c>
      <c r="R59" s="258">
        <f>IFERROR(VLOOKUP(A59,CFR20212022_BenchMarkDataReport!$B$4:$CL$90,33,0),0)</f>
        <v>0</v>
      </c>
      <c r="S59" s="258">
        <f>IFERROR(VLOOKUP(A59,CFR20212022_BenchMarkDataReport!$B$4:$CL$90,34,0),0)</f>
        <v>0</v>
      </c>
      <c r="T59" s="258">
        <f>IFERROR(VLOOKUP(A59,CFR20212022_BenchMarkDataReport!$B$4:$CL$90,35,0),0)</f>
        <v>0</v>
      </c>
      <c r="U59" s="258">
        <f t="shared" si="0"/>
        <v>128736.38</v>
      </c>
      <c r="V59" s="258">
        <f>IFERROR(VLOOKUP(A59,CFR20212022_BenchMarkDataReport!$B$4:$CL$90,40,0),0)</f>
        <v>1611642.99</v>
      </c>
      <c r="W59" s="258">
        <f>IFERROR(VLOOKUP(A59,CFR20212022_BenchMarkDataReport!$B$4:$CL$90,41,0),0)</f>
        <v>0</v>
      </c>
      <c r="X59" s="258">
        <f>IFERROR(VLOOKUP(A59,CFR20212022_BenchMarkDataReport!$B$4:$CL$90,42,0),0)</f>
        <v>958160.61</v>
      </c>
      <c r="Y59" s="258">
        <f>IFERROR(VLOOKUP(A59,CFR20212022_BenchMarkDataReport!$B$4:$CL$90,43,0),0)</f>
        <v>65396.86</v>
      </c>
      <c r="Z59" s="258">
        <f>IFERROR(VLOOKUP(A59,CFR20212022_BenchMarkDataReport!$B$4:$CL$90,44,0),0)</f>
        <v>177364.51</v>
      </c>
      <c r="AA59" s="258">
        <f>IFERROR(VLOOKUP(A59,CFR20212022_BenchMarkDataReport!$B$4:$CL$90,45,0),0)</f>
        <v>0</v>
      </c>
      <c r="AB59" s="258">
        <f>IFERROR(VLOOKUP(A59,CFR20212022_BenchMarkDataReport!$B$4:$CL$90,46,0),0)</f>
        <v>70856.710000000006</v>
      </c>
      <c r="AC59" s="258">
        <f>IFERROR(VLOOKUP(A59,CFR20212022_BenchMarkDataReport!$B$4:$CL$90,47,0),0)</f>
        <v>16809.22</v>
      </c>
      <c r="AD59" s="258">
        <f>IFERROR(VLOOKUP(A59,CFR20212022_BenchMarkDataReport!$B$4:$CL$90,48,0),0)</f>
        <v>4746.92</v>
      </c>
      <c r="AE59" s="258">
        <f>IFERROR(VLOOKUP(A59,CFR20212022_BenchMarkDataReport!$B$4:$CL$90,49,0),0)</f>
        <v>10591.99</v>
      </c>
      <c r="AF59" s="258">
        <f>IFERROR(VLOOKUP(A59,CFR20212022_BenchMarkDataReport!$B$4:$CL$90,50,0),0)</f>
        <v>6000</v>
      </c>
      <c r="AG59" s="258">
        <f>IFERROR(VLOOKUP(A59,CFR20212022_BenchMarkDataReport!$B$4:$CL$90,51,0),0)</f>
        <v>36232.01</v>
      </c>
      <c r="AH59" s="258">
        <f>IFERROR(VLOOKUP(A59,CFR20212022_BenchMarkDataReport!$B$4:$CL$90,52,0),0)</f>
        <v>24432.17</v>
      </c>
      <c r="AI59" s="258">
        <f>IFERROR(VLOOKUP(A59,CFR20212022_BenchMarkDataReport!$B$4:$CL$90,53,0),0)</f>
        <v>63451.27</v>
      </c>
      <c r="AJ59" s="258">
        <f>IFERROR(VLOOKUP(A59,CFR20212022_BenchMarkDataReport!$B$4:$CL$90,54,0),0)</f>
        <v>8352.27</v>
      </c>
      <c r="AK59" s="258">
        <f>IFERROR(VLOOKUP(A59,CFR20212022_BenchMarkDataReport!$B$4:$CL$90,55,0),0)</f>
        <v>48662.86</v>
      </c>
      <c r="AL59" s="258">
        <f>IFERROR(VLOOKUP(A59,CFR20212022_BenchMarkDataReport!$B$4:$CL$90,56,0),0)</f>
        <v>46825.75</v>
      </c>
      <c r="AM59" s="258">
        <f>IFERROR(VLOOKUP(A59,CFR20212022_BenchMarkDataReport!$B$4:$CL$90,57,0),0)</f>
        <v>15898.71</v>
      </c>
      <c r="AN59" s="258">
        <f>IFERROR(VLOOKUP(A59,CFR20212022_BenchMarkDataReport!$B$4:$CL$90,58,0),0)</f>
        <v>51969.99</v>
      </c>
      <c r="AO59" s="258">
        <f>IFERROR(VLOOKUP(A59,CFR20212022_BenchMarkDataReport!$B$4:$CL$90,59,0),0)</f>
        <v>12437.17</v>
      </c>
      <c r="AP59" s="258">
        <f>IFERROR(VLOOKUP(A59,CFR20212022_BenchMarkDataReport!$B$4:$CL$90,60,0),0)</f>
        <v>0</v>
      </c>
      <c r="AQ59" s="258">
        <f>IFERROR(VLOOKUP(A59,CFR20212022_BenchMarkDataReport!$B$4:$CL$90,61,0),0)</f>
        <v>19135.32</v>
      </c>
      <c r="AR59" s="258">
        <f>IFERROR(VLOOKUP(A59,CFR20212022_BenchMarkDataReport!$B$4:$CL$90,62,0),0)</f>
        <v>14826.74</v>
      </c>
      <c r="AS59" s="258">
        <f>IFERROR(VLOOKUP(A59,CFR20212022_BenchMarkDataReport!$B$4:$CL$90,63,0),0)</f>
        <v>6386.92</v>
      </c>
      <c r="AT59" s="258">
        <f>IFERROR(VLOOKUP(A59,CFR20212022_BenchMarkDataReport!$B$4:$CL$90,64,0),0)</f>
        <v>117991.65</v>
      </c>
      <c r="AU59" s="258">
        <f>IFERROR(VLOOKUP(A59,CFR20212022_BenchMarkDataReport!$B$4:$CL$90,65,0),0)</f>
        <v>38755.15</v>
      </c>
      <c r="AV59" s="258">
        <f>IFERROR(VLOOKUP(A59,CFR20212022_BenchMarkDataReport!$B$4:$CL$90,66,0),0)</f>
        <v>137217.51999999999</v>
      </c>
      <c r="AW59" s="258">
        <f>IFERROR(VLOOKUP(A59,CFR20212022_BenchMarkDataReport!$B$4:$CL$90,67,0),0)</f>
        <v>24109</v>
      </c>
      <c r="AX59" s="258">
        <f>IFERROR(VLOOKUP(A59,CFR20212022_BenchMarkDataReport!$B$4:$CL$90,68,0),0)</f>
        <v>0</v>
      </c>
      <c r="AY59" s="258">
        <f>IFERROR(VLOOKUP(A59,CFR20212022_BenchMarkDataReport!$B$4:$CL$90,69,0),0)</f>
        <v>0</v>
      </c>
      <c r="AZ59" s="258">
        <f>IFERROR(VLOOKUP(A59,CFR20212022_BenchMarkDataReport!$B$4:$CL$90,70,0),0)</f>
        <v>0</v>
      </c>
      <c r="BA59" s="258">
        <f>IFERROR(VLOOKUP(A59,CFR20212022_BenchMarkDataReport!$B$4:$CL$90,71,0),0)</f>
        <v>0</v>
      </c>
      <c r="BB59" s="258">
        <f>IFERROR(VLOOKUP(A59,CFR20212022_BenchMarkDataReport!$B$4:$CL$90,72,0),0)</f>
        <v>0</v>
      </c>
      <c r="BC59" s="259">
        <f t="shared" si="84"/>
        <v>3571476.3999999994</v>
      </c>
      <c r="BD59" s="260">
        <f t="shared" si="81"/>
        <v>3588254.3099999996</v>
      </c>
      <c r="BE59" s="300">
        <f t="shared" si="82"/>
        <v>-16777.910000000149</v>
      </c>
      <c r="BF59" s="258">
        <f>IFERROR(VLOOKUP(A59,CFR20212022_BenchMarkDataReport!$B$4:$CL$90,16,0),0)</f>
        <v>133084.79</v>
      </c>
      <c r="BG59" s="300">
        <f t="shared" si="83"/>
        <v>116306.87999999986</v>
      </c>
      <c r="BH59" s="261">
        <f>IFERROR(VLOOKUP(A59,'Pupil Nos BenchmarkData 21-22'!$A$6:$E$94,5,0),0)</f>
        <v>510.5</v>
      </c>
      <c r="BI59" s="260">
        <f t="shared" si="1"/>
        <v>3011607.73</v>
      </c>
      <c r="BJ59" s="227" t="s">
        <v>183</v>
      </c>
      <c r="BK59" s="262">
        <f t="shared" si="85"/>
        <v>0.79790965999383345</v>
      </c>
      <c r="BL59" s="263">
        <f t="shared" si="86"/>
        <v>5582.2047404505383</v>
      </c>
      <c r="BM59" s="264">
        <f t="shared" si="87"/>
        <v>0</v>
      </c>
      <c r="BN59" s="265">
        <f t="shared" si="88"/>
        <v>0</v>
      </c>
      <c r="BO59" s="262">
        <f t="shared" si="89"/>
        <v>4.5329211751196231E-2</v>
      </c>
      <c r="BP59" s="263">
        <f t="shared" si="90"/>
        <v>317.12479921645445</v>
      </c>
      <c r="BQ59" s="264">
        <f t="shared" si="91"/>
        <v>0</v>
      </c>
      <c r="BR59" s="265">
        <f t="shared" si="92"/>
        <v>0</v>
      </c>
      <c r="BS59" s="262">
        <f t="shared" si="93"/>
        <v>5.8520630291719139E-2</v>
      </c>
      <c r="BT59" s="263">
        <f t="shared" si="94"/>
        <v>409.41243878550438</v>
      </c>
      <c r="BU59" s="264">
        <f t="shared" si="95"/>
        <v>3.0316985994923557E-3</v>
      </c>
      <c r="BV59" s="265">
        <f t="shared" si="96"/>
        <v>21.209872673849166</v>
      </c>
      <c r="BW59" s="262">
        <f t="shared" si="97"/>
        <v>1.8667350006848712E-3</v>
      </c>
      <c r="BX59" s="263">
        <f t="shared" si="98"/>
        <v>13.059745347698335</v>
      </c>
      <c r="BY59" s="264">
        <f t="shared" si="99"/>
        <v>3.6150705069757712E-2</v>
      </c>
      <c r="BZ59" s="266">
        <f t="shared" si="100"/>
        <v>252.91163565132223</v>
      </c>
      <c r="CA59" s="267">
        <f t="shared" si="101"/>
        <v>3.5638482729439293E-3</v>
      </c>
      <c r="CB59" s="268">
        <f t="shared" si="102"/>
        <v>24.932810969637611</v>
      </c>
      <c r="CC59" s="264">
        <f t="shared" si="103"/>
        <v>4.5374596343405781E-3</v>
      </c>
      <c r="CD59" s="265">
        <f t="shared" si="104"/>
        <v>31.744231145935359</v>
      </c>
      <c r="CE59" s="269">
        <f t="shared" si="105"/>
        <v>0.54801232031636471</v>
      </c>
      <c r="CF59" s="267">
        <f t="shared" si="106"/>
        <v>0.46210529068594719</v>
      </c>
      <c r="CG59" s="267">
        <f t="shared" si="107"/>
        <v>0.45994458514285186</v>
      </c>
      <c r="CH59" s="268">
        <f t="shared" si="108"/>
        <v>3232.9052693437802</v>
      </c>
      <c r="CI59" s="264">
        <f t="shared" si="109"/>
        <v>0.31815584760768295</v>
      </c>
      <c r="CJ59" s="270">
        <f t="shared" si="110"/>
        <v>0.26828137797578616</v>
      </c>
      <c r="CK59" s="270">
        <f t="shared" si="111"/>
        <v>0.26702695160979267</v>
      </c>
      <c r="CL59" s="271">
        <f t="shared" si="112"/>
        <v>1876.9061900097943</v>
      </c>
      <c r="CM59" s="269">
        <f t="shared" si="113"/>
        <v>2.1714932973691099E-2</v>
      </c>
      <c r="CN59" s="267">
        <f t="shared" si="114"/>
        <v>1.8310875580754227E-2</v>
      </c>
      <c r="CO59" s="267">
        <f t="shared" si="115"/>
        <v>1.8225257841326194E-2</v>
      </c>
      <c r="CP59" s="268">
        <f t="shared" si="116"/>
        <v>128.10354554358472</v>
      </c>
      <c r="CQ59" s="264">
        <f t="shared" si="117"/>
        <v>5.8893629549821885E-2</v>
      </c>
      <c r="CR59" s="270">
        <f t="shared" si="118"/>
        <v>4.9661397734561546E-2</v>
      </c>
      <c r="CS59" s="270">
        <f t="shared" si="119"/>
        <v>4.9429191656151047E-2</v>
      </c>
      <c r="CT59" s="265">
        <f t="shared" si="120"/>
        <v>347.43292850146918</v>
      </c>
      <c r="CU59" s="269">
        <f t="shared" si="121"/>
        <v>0.95743600711238697</v>
      </c>
      <c r="CV59" s="267">
        <f t="shared" si="122"/>
        <v>0.80734725840551547</v>
      </c>
      <c r="CW59" s="267">
        <f t="shared" si="123"/>
        <v>0.80357227523263253</v>
      </c>
      <c r="CX59" s="268">
        <f t="shared" si="124"/>
        <v>5648.2305190989218</v>
      </c>
      <c r="CY59" s="264">
        <f t="shared" si="125"/>
        <v>1.2030786625720344E-2</v>
      </c>
      <c r="CZ59" s="270">
        <f t="shared" si="126"/>
        <v>1.0097391898624936E-2</v>
      </c>
      <c r="DA59" s="265">
        <f t="shared" si="127"/>
        <v>70.973574926542611</v>
      </c>
      <c r="DB59" s="269">
        <f t="shared" si="128"/>
        <v>2.3276694677752652E-3</v>
      </c>
      <c r="DC59" s="268">
        <f t="shared" si="129"/>
        <v>16.360959843290892</v>
      </c>
      <c r="DD59" s="264">
        <f t="shared" si="130"/>
        <v>1.6158432426390406E-2</v>
      </c>
      <c r="DE59" s="270">
        <f t="shared" si="131"/>
        <v>1.3561708785350837E-2</v>
      </c>
      <c r="DF59" s="265">
        <f t="shared" si="132"/>
        <v>95.323917727717927</v>
      </c>
      <c r="DG59" s="269">
        <f t="shared" si="133"/>
        <v>5.2791437084005622E-3</v>
      </c>
      <c r="DH59" s="267">
        <f t="shared" si="134"/>
        <v>4.4307645519138248E-3</v>
      </c>
      <c r="DI59" s="272">
        <f t="shared" si="135"/>
        <v>31.143408423114593</v>
      </c>
      <c r="DJ59" s="264">
        <f t="shared" si="136"/>
        <v>1.7256560169607481E-2</v>
      </c>
      <c r="DK59" s="270">
        <f t="shared" si="137"/>
        <v>1.455140232762003E-2</v>
      </c>
      <c r="DL59" s="270">
        <f t="shared" si="138"/>
        <v>1.448336308136421E-2</v>
      </c>
      <c r="DM59" s="265">
        <f t="shared" si="139"/>
        <v>101.80213516160626</v>
      </c>
      <c r="DN59" s="269">
        <f t="shared" si="140"/>
        <v>6.3538553874013335E-3</v>
      </c>
      <c r="DO59" s="267">
        <f t="shared" si="141"/>
        <v>5.3327658373243901E-3</v>
      </c>
      <c r="DP59" s="268">
        <f t="shared" si="142"/>
        <v>37.483486777668951</v>
      </c>
      <c r="DQ59" s="264">
        <f t="shared" si="143"/>
        <v>4.5562879465713149E-2</v>
      </c>
      <c r="DR59" s="270">
        <f t="shared" si="144"/>
        <v>3.8240745539576876E-2</v>
      </c>
      <c r="DS59" s="265">
        <f t="shared" si="145"/>
        <v>268.79044074436825</v>
      </c>
      <c r="DT59" s="269">
        <f t="shared" si="146"/>
        <v>3.2882744590084535E-2</v>
      </c>
      <c r="DU59" s="268">
        <f t="shared" si="147"/>
        <v>231.1295788442703</v>
      </c>
      <c r="DV59" s="264">
        <f t="shared" si="2"/>
        <v>1.7683047108219038E-2</v>
      </c>
      <c r="DW59" s="265">
        <f t="shared" si="3"/>
        <v>124.29239960822723</v>
      </c>
      <c r="DX59" s="264">
        <f t="shared" si="148"/>
        <v>4.8811137830357476E-5</v>
      </c>
      <c r="DY59" s="270">
        <f t="shared" si="149"/>
        <v>4.1159448792661776E-5</v>
      </c>
      <c r="DZ59" s="270">
        <f t="shared" si="150"/>
        <v>4.0966996009822951E-5</v>
      </c>
      <c r="EA59" s="265">
        <f t="shared" si="151"/>
        <v>0.28795298726738494</v>
      </c>
      <c r="EB59" s="273">
        <f>IFERROR(VLOOKUP(A59,'BARNET SCHS PUPIL PREMIUM Nos'!$E$31:$V$117,17,0),0)</f>
        <v>147</v>
      </c>
      <c r="EC59" s="258">
        <f>IFERROR(VLOOKUP(A59,CFR20212022_BenchMarkDataReport!$B$4:$CL$90,36,0),0)</f>
        <v>0</v>
      </c>
      <c r="ED59" s="258">
        <f>IFERROR(VLOOKUP(A59,CFR20212022_BenchMarkDataReport!$B$4:$CL$90,37,0),0)</f>
        <v>0</v>
      </c>
      <c r="EE59" s="258">
        <f>IFERROR(VLOOKUP(A59,CFR20212022_BenchMarkDataReport!$B$4:$CL$90,38,0),0)</f>
        <v>38841.879999999997</v>
      </c>
      <c r="EF59" s="258">
        <f>IFERROR(VLOOKUP(A59,CFR20212022_BenchMarkDataReport!$B$4:$CL$90,39,0),0)</f>
        <v>89894.5</v>
      </c>
      <c r="EG59" s="227"/>
    </row>
    <row r="60" spans="1:137" s="5" customFormat="1">
      <c r="A60" s="147">
        <v>3512</v>
      </c>
      <c r="B60" s="298">
        <v>10112</v>
      </c>
      <c r="C60" s="147" t="s">
        <v>85</v>
      </c>
      <c r="D60" s="258">
        <f>IFERROR(VLOOKUP(A60,CFR20212022_BenchMarkDataReport!$B$4:$CL$90,19,0),0)</f>
        <v>1615271.15</v>
      </c>
      <c r="E60" s="258">
        <f>IFERROR(VLOOKUP(A60,CFR20212022_BenchMarkDataReport!$B$4:$CL$90,20,0),0)</f>
        <v>0</v>
      </c>
      <c r="F60" s="258">
        <f>IFERROR(VLOOKUP(A60,CFR20212022_BenchMarkDataReport!$B$4:$CL$90,21,0),0)</f>
        <v>40749.53</v>
      </c>
      <c r="G60" s="258">
        <f>IFERROR(VLOOKUP(A60,CFR20212022_BenchMarkDataReport!$B$4:$CL$90,22,0),0)</f>
        <v>0</v>
      </c>
      <c r="H60" s="258">
        <f>IFERROR(VLOOKUP(A60,CFR20212022_BenchMarkDataReport!$B$4:$CL$90,23,0),0)</f>
        <v>13450.02</v>
      </c>
      <c r="I60" s="258">
        <f>IFERROR(VLOOKUP(A60,CFR20212022_BenchMarkDataReport!$B$4:$CL$90,24,0),0)</f>
        <v>0</v>
      </c>
      <c r="J60" s="258">
        <f>IFERROR(VLOOKUP(A60,CFR20212022_BenchMarkDataReport!$B$4:$CL$90,25,0),0)</f>
        <v>4764.6400000000003</v>
      </c>
      <c r="K60" s="258">
        <f>IFERROR(VLOOKUP(A60,CFR20212022_BenchMarkDataReport!$B$4:$CL$90,26,0),0)</f>
        <v>0</v>
      </c>
      <c r="L60" s="258">
        <f>IFERROR(VLOOKUP(A60,CFR20212022_BenchMarkDataReport!$B$4:$CL$90,27,0),0)</f>
        <v>53636.28</v>
      </c>
      <c r="M60" s="258">
        <f>IFERROR(VLOOKUP(A60,CFR20212022_BenchMarkDataReport!$B$4:$CL$90,28,0),0)</f>
        <v>144553.92000000001</v>
      </c>
      <c r="N60" s="258">
        <f>IFERROR(VLOOKUP(A60,CFR20212022_BenchMarkDataReport!$B$4:$CL$90,29,0),0)</f>
        <v>11166</v>
      </c>
      <c r="O60" s="258">
        <f>IFERROR(VLOOKUP(A60,CFR20212022_BenchMarkDataReport!$B$4:$CL$90,30,0),0)</f>
        <v>0</v>
      </c>
      <c r="P60" s="258">
        <f>IFERROR(VLOOKUP(A60,CFR20212022_BenchMarkDataReport!$B$4:$CL$90,31,0),0)</f>
        <v>23676.44</v>
      </c>
      <c r="Q60" s="258">
        <f>IFERROR(VLOOKUP(A60,CFR20212022_BenchMarkDataReport!$B$4:$CL$90,32,0),0)</f>
        <v>346383.64</v>
      </c>
      <c r="R60" s="258">
        <f>IFERROR(VLOOKUP(A60,CFR20212022_BenchMarkDataReport!$B$4:$CL$90,33,0),0)</f>
        <v>0</v>
      </c>
      <c r="S60" s="258">
        <f>IFERROR(VLOOKUP(A60,CFR20212022_BenchMarkDataReport!$B$4:$CL$90,34,0),0)</f>
        <v>0</v>
      </c>
      <c r="T60" s="258">
        <f>IFERROR(VLOOKUP(A60,CFR20212022_BenchMarkDataReport!$B$4:$CL$90,35,0),0)</f>
        <v>0</v>
      </c>
      <c r="U60" s="258">
        <f t="shared" si="0"/>
        <v>98778.25</v>
      </c>
      <c r="V60" s="258">
        <f>IFERROR(VLOOKUP(A60,CFR20212022_BenchMarkDataReport!$B$4:$CL$90,40,0),0)</f>
        <v>1120364.6000000001</v>
      </c>
      <c r="W60" s="258">
        <f>IFERROR(VLOOKUP(A60,CFR20212022_BenchMarkDataReport!$B$4:$CL$90,41,0),0)</f>
        <v>17168.28</v>
      </c>
      <c r="X60" s="258">
        <f>IFERROR(VLOOKUP(A60,CFR20212022_BenchMarkDataReport!$B$4:$CL$90,42,0),0)</f>
        <v>363516.4</v>
      </c>
      <c r="Y60" s="258">
        <f>IFERROR(VLOOKUP(A60,CFR20212022_BenchMarkDataReport!$B$4:$CL$90,43,0),0)</f>
        <v>65191.46</v>
      </c>
      <c r="Z60" s="258">
        <f>IFERROR(VLOOKUP(A60,CFR20212022_BenchMarkDataReport!$B$4:$CL$90,44,0),0)</f>
        <v>117474.79</v>
      </c>
      <c r="AA60" s="258">
        <f>IFERROR(VLOOKUP(A60,CFR20212022_BenchMarkDataReport!$B$4:$CL$90,45,0),0)</f>
        <v>0</v>
      </c>
      <c r="AB60" s="258">
        <f>IFERROR(VLOOKUP(A60,CFR20212022_BenchMarkDataReport!$B$4:$CL$90,46,0),0)</f>
        <v>71268.03</v>
      </c>
      <c r="AC60" s="258">
        <f>IFERROR(VLOOKUP(A60,CFR20212022_BenchMarkDataReport!$B$4:$CL$90,47,0),0)</f>
        <v>7400.42</v>
      </c>
      <c r="AD60" s="258">
        <f>IFERROR(VLOOKUP(A60,CFR20212022_BenchMarkDataReport!$B$4:$CL$90,48,0),0)</f>
        <v>3415.6</v>
      </c>
      <c r="AE60" s="258">
        <f>IFERROR(VLOOKUP(A60,CFR20212022_BenchMarkDataReport!$B$4:$CL$90,49,0),0)</f>
        <v>18926.59</v>
      </c>
      <c r="AF60" s="258">
        <f>IFERROR(VLOOKUP(A60,CFR20212022_BenchMarkDataReport!$B$4:$CL$90,50,0),0)</f>
        <v>0</v>
      </c>
      <c r="AG60" s="258">
        <f>IFERROR(VLOOKUP(A60,CFR20212022_BenchMarkDataReport!$B$4:$CL$90,51,0),0)</f>
        <v>29015.31</v>
      </c>
      <c r="AH60" s="258">
        <f>IFERROR(VLOOKUP(A60,CFR20212022_BenchMarkDataReport!$B$4:$CL$90,52,0),0)</f>
        <v>0</v>
      </c>
      <c r="AI60" s="258">
        <f>IFERROR(VLOOKUP(A60,CFR20212022_BenchMarkDataReport!$B$4:$CL$90,53,0),0)</f>
        <v>49730.87</v>
      </c>
      <c r="AJ60" s="258">
        <f>IFERROR(VLOOKUP(A60,CFR20212022_BenchMarkDataReport!$B$4:$CL$90,54,0),0)</f>
        <v>2744.46</v>
      </c>
      <c r="AK60" s="258">
        <f>IFERROR(VLOOKUP(A60,CFR20212022_BenchMarkDataReport!$B$4:$CL$90,55,0),0)</f>
        <v>35538.99</v>
      </c>
      <c r="AL60" s="258">
        <f>IFERROR(VLOOKUP(A60,CFR20212022_BenchMarkDataReport!$B$4:$CL$90,56,0),0)</f>
        <v>13300</v>
      </c>
      <c r="AM60" s="258">
        <f>IFERROR(VLOOKUP(A60,CFR20212022_BenchMarkDataReport!$B$4:$CL$90,57,0),0)</f>
        <v>9559.6200000000008</v>
      </c>
      <c r="AN60" s="258">
        <f>IFERROR(VLOOKUP(A60,CFR20212022_BenchMarkDataReport!$B$4:$CL$90,58,0),0)</f>
        <v>47558.59</v>
      </c>
      <c r="AO60" s="258">
        <f>IFERROR(VLOOKUP(A60,CFR20212022_BenchMarkDataReport!$B$4:$CL$90,59,0),0)</f>
        <v>9629.66</v>
      </c>
      <c r="AP60" s="258">
        <f>IFERROR(VLOOKUP(A60,CFR20212022_BenchMarkDataReport!$B$4:$CL$90,60,0),0)</f>
        <v>0</v>
      </c>
      <c r="AQ60" s="258">
        <f>IFERROR(VLOOKUP(A60,CFR20212022_BenchMarkDataReport!$B$4:$CL$90,61,0),0)</f>
        <v>11815.21</v>
      </c>
      <c r="AR60" s="258">
        <f>IFERROR(VLOOKUP(A60,CFR20212022_BenchMarkDataReport!$B$4:$CL$90,62,0),0)</f>
        <v>11345.49</v>
      </c>
      <c r="AS60" s="258">
        <f>IFERROR(VLOOKUP(A60,CFR20212022_BenchMarkDataReport!$B$4:$CL$90,63,0),0)</f>
        <v>11043.72</v>
      </c>
      <c r="AT60" s="258">
        <f>IFERROR(VLOOKUP(A60,CFR20212022_BenchMarkDataReport!$B$4:$CL$90,64,0),0)</f>
        <v>228283.92</v>
      </c>
      <c r="AU60" s="258">
        <f>IFERROR(VLOOKUP(A60,CFR20212022_BenchMarkDataReport!$B$4:$CL$90,65,0),0)</f>
        <v>26514.25</v>
      </c>
      <c r="AV60" s="258">
        <f>IFERROR(VLOOKUP(A60,CFR20212022_BenchMarkDataReport!$B$4:$CL$90,66,0),0)</f>
        <v>87986.240000000005</v>
      </c>
      <c r="AW60" s="258">
        <f>IFERROR(VLOOKUP(A60,CFR20212022_BenchMarkDataReport!$B$4:$CL$90,67,0),0)</f>
        <v>37569</v>
      </c>
      <c r="AX60" s="258">
        <f>IFERROR(VLOOKUP(A60,CFR20212022_BenchMarkDataReport!$B$4:$CL$90,68,0),0)</f>
        <v>0</v>
      </c>
      <c r="AY60" s="258">
        <f>IFERROR(VLOOKUP(A60,CFR20212022_BenchMarkDataReport!$B$4:$CL$90,69,0),0)</f>
        <v>0</v>
      </c>
      <c r="AZ60" s="258">
        <f>IFERROR(VLOOKUP(A60,CFR20212022_BenchMarkDataReport!$B$4:$CL$90,70,0),0)</f>
        <v>7199.6</v>
      </c>
      <c r="BA60" s="258">
        <f>IFERROR(VLOOKUP(A60,CFR20212022_BenchMarkDataReport!$B$4:$CL$90,71,0),0)</f>
        <v>0</v>
      </c>
      <c r="BB60" s="258">
        <f>IFERROR(VLOOKUP(A60,CFR20212022_BenchMarkDataReport!$B$4:$CL$90,72,0),0)</f>
        <v>0</v>
      </c>
      <c r="BC60" s="259">
        <f t="shared" si="84"/>
        <v>2352429.8699999996</v>
      </c>
      <c r="BD60" s="260">
        <f t="shared" si="81"/>
        <v>2403561.100000001</v>
      </c>
      <c r="BE60" s="300">
        <f t="shared" si="82"/>
        <v>-51131.230000001378</v>
      </c>
      <c r="BF60" s="258">
        <f>IFERROR(VLOOKUP(A60,CFR20212022_BenchMarkDataReport!$B$4:$CL$90,16,0),0)</f>
        <v>400324.92</v>
      </c>
      <c r="BG60" s="300">
        <f t="shared" si="83"/>
        <v>349193.68999999861</v>
      </c>
      <c r="BH60" s="261">
        <f>IFERROR(VLOOKUP(A60,'Pupil Nos BenchmarkData 21-22'!$A$6:$E$94,5,0),0)</f>
        <v>365</v>
      </c>
      <c r="BI60" s="260">
        <f t="shared" si="1"/>
        <v>1656020.68</v>
      </c>
      <c r="BJ60" s="227" t="s">
        <v>183</v>
      </c>
      <c r="BK60" s="262">
        <f t="shared" si="85"/>
        <v>0.68663944910714814</v>
      </c>
      <c r="BL60" s="263">
        <f t="shared" si="86"/>
        <v>4425.4004109589041</v>
      </c>
      <c r="BM60" s="264">
        <f t="shared" si="87"/>
        <v>0</v>
      </c>
      <c r="BN60" s="265">
        <f t="shared" si="88"/>
        <v>0</v>
      </c>
      <c r="BO60" s="262">
        <f t="shared" si="89"/>
        <v>1.7322314479878632E-2</v>
      </c>
      <c r="BP60" s="263">
        <f t="shared" si="90"/>
        <v>111.64254794520548</v>
      </c>
      <c r="BQ60" s="264">
        <f t="shared" si="91"/>
        <v>0</v>
      </c>
      <c r="BR60" s="265">
        <f t="shared" si="92"/>
        <v>0</v>
      </c>
      <c r="BS60" s="262">
        <f t="shared" si="93"/>
        <v>5.7175009429717887E-3</v>
      </c>
      <c r="BT60" s="263">
        <f t="shared" si="94"/>
        <v>36.849369863013699</v>
      </c>
      <c r="BU60" s="264">
        <f t="shared" si="95"/>
        <v>0</v>
      </c>
      <c r="BV60" s="265">
        <f t="shared" si="96"/>
        <v>0</v>
      </c>
      <c r="BW60" s="262">
        <f t="shared" si="97"/>
        <v>2.0254121326898477E-3</v>
      </c>
      <c r="BX60" s="263">
        <f t="shared" si="98"/>
        <v>13.053808219178084</v>
      </c>
      <c r="BY60" s="264">
        <f t="shared" si="99"/>
        <v>2.2800373640894132E-2</v>
      </c>
      <c r="BZ60" s="266">
        <f t="shared" si="100"/>
        <v>146.94871232876713</v>
      </c>
      <c r="CA60" s="267">
        <f t="shared" si="101"/>
        <v>1.0064674106522887E-2</v>
      </c>
      <c r="CB60" s="268">
        <f t="shared" si="102"/>
        <v>64.86695890410958</v>
      </c>
      <c r="CC60" s="264">
        <f t="shared" si="103"/>
        <v>0.14724504412112402</v>
      </c>
      <c r="CD60" s="265">
        <f t="shared" si="104"/>
        <v>948.99627397260281</v>
      </c>
      <c r="CE60" s="269">
        <f t="shared" si="105"/>
        <v>0.70291823288100497</v>
      </c>
      <c r="CF60" s="267">
        <f t="shared" si="106"/>
        <v>0.49482755887638863</v>
      </c>
      <c r="CG60" s="267">
        <f t="shared" si="107"/>
        <v>0.4843010356591308</v>
      </c>
      <c r="CH60" s="268">
        <f t="shared" si="108"/>
        <v>3189.1702191780823</v>
      </c>
      <c r="CI60" s="264">
        <f t="shared" si="109"/>
        <v>0.21951199305071484</v>
      </c>
      <c r="CJ60" s="270">
        <f t="shared" si="110"/>
        <v>0.15452804975648438</v>
      </c>
      <c r="CK60" s="270">
        <f t="shared" si="111"/>
        <v>0.15124075689193001</v>
      </c>
      <c r="CL60" s="271">
        <f t="shared" si="112"/>
        <v>995.93534246575348</v>
      </c>
      <c r="CM60" s="269">
        <f t="shared" si="113"/>
        <v>3.9366332067785531E-2</v>
      </c>
      <c r="CN60" s="267">
        <f t="shared" si="114"/>
        <v>2.7712392548390832E-2</v>
      </c>
      <c r="CO60" s="267">
        <f t="shared" si="115"/>
        <v>2.7122863654266985E-2</v>
      </c>
      <c r="CP60" s="268">
        <f t="shared" si="116"/>
        <v>178.6067397260274</v>
      </c>
      <c r="CQ60" s="264">
        <f t="shared" si="117"/>
        <v>7.0937996982018359E-2</v>
      </c>
      <c r="CR60" s="270">
        <f t="shared" si="118"/>
        <v>4.9937637460792834E-2</v>
      </c>
      <c r="CS60" s="270">
        <f t="shared" si="119"/>
        <v>4.8875308391369762E-2</v>
      </c>
      <c r="CT60" s="265">
        <f t="shared" si="120"/>
        <v>321.84873972602736</v>
      </c>
      <c r="CU60" s="269">
        <f t="shared" si="121"/>
        <v>1.0597594469653606</v>
      </c>
      <c r="CV60" s="267">
        <f t="shared" si="122"/>
        <v>0.74603012926374745</v>
      </c>
      <c r="CW60" s="267">
        <f t="shared" si="123"/>
        <v>0.73015974505495185</v>
      </c>
      <c r="CX60" s="268">
        <f t="shared" si="124"/>
        <v>4808.1741369863021</v>
      </c>
      <c r="CY60" s="264">
        <f t="shared" si="125"/>
        <v>1.7521103661579881E-2</v>
      </c>
      <c r="CZ60" s="270">
        <f t="shared" si="126"/>
        <v>1.2071800463071228E-2</v>
      </c>
      <c r="DA60" s="265">
        <f t="shared" si="127"/>
        <v>79.494</v>
      </c>
      <c r="DB60" s="269">
        <f t="shared" si="128"/>
        <v>1.1418307610320366E-3</v>
      </c>
      <c r="DC60" s="268">
        <f t="shared" si="129"/>
        <v>7.5190684931506846</v>
      </c>
      <c r="DD60" s="264">
        <f t="shared" si="130"/>
        <v>2.1460474756873203E-2</v>
      </c>
      <c r="DE60" s="270">
        <f t="shared" si="131"/>
        <v>1.4785973196187933E-2</v>
      </c>
      <c r="DF60" s="265">
        <f t="shared" si="132"/>
        <v>97.367095890410951</v>
      </c>
      <c r="DG60" s="269">
        <f t="shared" si="133"/>
        <v>5.7726453029560004E-3</v>
      </c>
      <c r="DH60" s="267">
        <f t="shared" si="134"/>
        <v>3.9772735546435645E-3</v>
      </c>
      <c r="DI60" s="272">
        <f t="shared" si="135"/>
        <v>26.190739726027399</v>
      </c>
      <c r="DJ60" s="264">
        <f t="shared" si="136"/>
        <v>2.8718596678394135E-2</v>
      </c>
      <c r="DK60" s="270">
        <f t="shared" si="137"/>
        <v>2.0216793965466866E-2</v>
      </c>
      <c r="DL60" s="270">
        <f t="shared" si="138"/>
        <v>1.9786719796721614E-2</v>
      </c>
      <c r="DM60" s="265">
        <f t="shared" si="139"/>
        <v>130.29750684931506</v>
      </c>
      <c r="DN60" s="269">
        <f t="shared" si="140"/>
        <v>7.1346995497664914E-3</v>
      </c>
      <c r="DO60" s="267">
        <f t="shared" si="141"/>
        <v>4.9157102767223163E-3</v>
      </c>
      <c r="DP60" s="268">
        <f t="shared" si="142"/>
        <v>32.370438356164378</v>
      </c>
      <c r="DQ60" s="264">
        <f t="shared" si="143"/>
        <v>5.3131123942244493E-2</v>
      </c>
      <c r="DR60" s="270">
        <f t="shared" si="144"/>
        <v>3.6606616740468952E-2</v>
      </c>
      <c r="DS60" s="265">
        <f t="shared" si="145"/>
        <v>241.05819178082194</v>
      </c>
      <c r="DT60" s="269">
        <f t="shared" si="146"/>
        <v>9.497737336487927E-2</v>
      </c>
      <c r="DU60" s="268">
        <f t="shared" si="147"/>
        <v>625.43539726027404</v>
      </c>
      <c r="DV60" s="264">
        <f t="shared" si="2"/>
        <v>2.0690495448607477E-2</v>
      </c>
      <c r="DW60" s="265">
        <f t="shared" si="3"/>
        <v>136.2489589041096</v>
      </c>
      <c r="DX60" s="264">
        <f t="shared" si="148"/>
        <v>6.0385719337756101E-6</v>
      </c>
      <c r="DY60" s="270">
        <f t="shared" si="149"/>
        <v>4.250923748047801E-6</v>
      </c>
      <c r="DZ60" s="270">
        <f t="shared" si="150"/>
        <v>4.1604933612879634E-6</v>
      </c>
      <c r="EA60" s="265">
        <f t="shared" si="151"/>
        <v>2.7397260273972601E-2</v>
      </c>
      <c r="EB60" s="273">
        <f>IFERROR(VLOOKUP(A60,'BARNET SCHS PUPIL PREMIUM Nos'!$E$31:$V$117,17,0),0)</f>
        <v>10</v>
      </c>
      <c r="EC60" s="258">
        <f>IFERROR(VLOOKUP(A60,CFR20212022_BenchMarkDataReport!$B$4:$CL$90,36,0),0)</f>
        <v>0</v>
      </c>
      <c r="ED60" s="258">
        <f>IFERROR(VLOOKUP(A60,CFR20212022_BenchMarkDataReport!$B$4:$CL$90,37,0),0)</f>
        <v>0</v>
      </c>
      <c r="EE60" s="258">
        <f>IFERROR(VLOOKUP(A60,CFR20212022_BenchMarkDataReport!$B$4:$CL$90,38,0),0)</f>
        <v>0</v>
      </c>
      <c r="EF60" s="258">
        <f>IFERROR(VLOOKUP(A60,CFR20212022_BenchMarkDataReport!$B$4:$CL$90,39,0),0)</f>
        <v>98778.25</v>
      </c>
      <c r="EG60" s="227"/>
    </row>
    <row r="61" spans="1:137" s="5" customFormat="1">
      <c r="A61" s="147">
        <v>3510</v>
      </c>
      <c r="B61" s="298">
        <v>10110</v>
      </c>
      <c r="C61" s="147" t="s">
        <v>86</v>
      </c>
      <c r="D61" s="258">
        <f>IFERROR(VLOOKUP(A61,CFR20212022_BenchMarkDataReport!$B$4:$CL$90,19,0),0)</f>
        <v>1693164</v>
      </c>
      <c r="E61" s="258">
        <f>IFERROR(VLOOKUP(A61,CFR20212022_BenchMarkDataReport!$B$4:$CL$90,20,0),0)</f>
        <v>0</v>
      </c>
      <c r="F61" s="258">
        <f>IFERROR(VLOOKUP(A61,CFR20212022_BenchMarkDataReport!$B$4:$CL$90,21,0),0)</f>
        <v>87868</v>
      </c>
      <c r="G61" s="258">
        <f>IFERROR(VLOOKUP(A61,CFR20212022_BenchMarkDataReport!$B$4:$CL$90,22,0),0)</f>
        <v>0</v>
      </c>
      <c r="H61" s="258">
        <f>IFERROR(VLOOKUP(A61,CFR20212022_BenchMarkDataReport!$B$4:$CL$90,23,0),0)</f>
        <v>58835</v>
      </c>
      <c r="I61" s="258">
        <f>IFERROR(VLOOKUP(A61,CFR20212022_BenchMarkDataReport!$B$4:$CL$90,24,0),0)</f>
        <v>2955</v>
      </c>
      <c r="J61" s="258">
        <f>IFERROR(VLOOKUP(A61,CFR20212022_BenchMarkDataReport!$B$4:$CL$90,25,0),0)</f>
        <v>15901</v>
      </c>
      <c r="K61" s="258">
        <f>IFERROR(VLOOKUP(A61,CFR20212022_BenchMarkDataReport!$B$4:$CL$90,26,0),0)</f>
        <v>1580</v>
      </c>
      <c r="L61" s="258">
        <f>IFERROR(VLOOKUP(A61,CFR20212022_BenchMarkDataReport!$B$4:$CL$90,27,0),0)</f>
        <v>34329</v>
      </c>
      <c r="M61" s="258">
        <f>IFERROR(VLOOKUP(A61,CFR20212022_BenchMarkDataReport!$B$4:$CL$90,28,0),0)</f>
        <v>47274</v>
      </c>
      <c r="N61" s="258">
        <f>IFERROR(VLOOKUP(A61,CFR20212022_BenchMarkDataReport!$B$4:$CL$90,29,0),0)</f>
        <v>0</v>
      </c>
      <c r="O61" s="258">
        <f>IFERROR(VLOOKUP(A61,CFR20212022_BenchMarkDataReport!$B$4:$CL$90,30,0),0)</f>
        <v>0</v>
      </c>
      <c r="P61" s="258">
        <f>IFERROR(VLOOKUP(A61,CFR20212022_BenchMarkDataReport!$B$4:$CL$90,31,0),0)</f>
        <v>30983</v>
      </c>
      <c r="Q61" s="258">
        <f>IFERROR(VLOOKUP(A61,CFR20212022_BenchMarkDataReport!$B$4:$CL$90,32,0),0)</f>
        <v>63269</v>
      </c>
      <c r="R61" s="258">
        <f>IFERROR(VLOOKUP(A61,CFR20212022_BenchMarkDataReport!$B$4:$CL$90,33,0),0)</f>
        <v>0</v>
      </c>
      <c r="S61" s="258">
        <f>IFERROR(VLOOKUP(A61,CFR20212022_BenchMarkDataReport!$B$4:$CL$90,34,0),0)</f>
        <v>0</v>
      </c>
      <c r="T61" s="258">
        <f>IFERROR(VLOOKUP(A61,CFR20212022_BenchMarkDataReport!$B$4:$CL$90,35,0),0)</f>
        <v>0</v>
      </c>
      <c r="U61" s="258">
        <f t="shared" si="0"/>
        <v>89775</v>
      </c>
      <c r="V61" s="258">
        <f>IFERROR(VLOOKUP(A61,CFR20212022_BenchMarkDataReport!$B$4:$CL$90,40,0),0)</f>
        <v>1102947</v>
      </c>
      <c r="W61" s="258">
        <f>IFERROR(VLOOKUP(A61,CFR20212022_BenchMarkDataReport!$B$4:$CL$90,41,0),0)</f>
        <v>0</v>
      </c>
      <c r="X61" s="258">
        <f>IFERROR(VLOOKUP(A61,CFR20212022_BenchMarkDataReport!$B$4:$CL$90,42,0),0)</f>
        <v>276790</v>
      </c>
      <c r="Y61" s="258">
        <f>IFERROR(VLOOKUP(A61,CFR20212022_BenchMarkDataReport!$B$4:$CL$90,43,0),0)</f>
        <v>39063</v>
      </c>
      <c r="Z61" s="258">
        <f>IFERROR(VLOOKUP(A61,CFR20212022_BenchMarkDataReport!$B$4:$CL$90,44,0),0)</f>
        <v>93076</v>
      </c>
      <c r="AA61" s="258">
        <f>IFERROR(VLOOKUP(A61,CFR20212022_BenchMarkDataReport!$B$4:$CL$90,45,0),0)</f>
        <v>0</v>
      </c>
      <c r="AB61" s="258">
        <f>IFERROR(VLOOKUP(A61,CFR20212022_BenchMarkDataReport!$B$4:$CL$90,46,0),0)</f>
        <v>8829</v>
      </c>
      <c r="AC61" s="258">
        <f>IFERROR(VLOOKUP(A61,CFR20212022_BenchMarkDataReport!$B$4:$CL$90,47,0),0)</f>
        <v>10311</v>
      </c>
      <c r="AD61" s="258">
        <f>IFERROR(VLOOKUP(A61,CFR20212022_BenchMarkDataReport!$B$4:$CL$90,48,0),0)</f>
        <v>3058</v>
      </c>
      <c r="AE61" s="258">
        <f>IFERROR(VLOOKUP(A61,CFR20212022_BenchMarkDataReport!$B$4:$CL$90,49,0),0)</f>
        <v>649</v>
      </c>
      <c r="AF61" s="258">
        <f>IFERROR(VLOOKUP(A61,CFR20212022_BenchMarkDataReport!$B$4:$CL$90,50,0),0)</f>
        <v>0</v>
      </c>
      <c r="AG61" s="258">
        <f>IFERROR(VLOOKUP(A61,CFR20212022_BenchMarkDataReport!$B$4:$CL$90,51,0),0)</f>
        <v>15388</v>
      </c>
      <c r="AH61" s="258">
        <f>IFERROR(VLOOKUP(A61,CFR20212022_BenchMarkDataReport!$B$4:$CL$90,52,0),0)</f>
        <v>4697</v>
      </c>
      <c r="AI61" s="258">
        <f>IFERROR(VLOOKUP(A61,CFR20212022_BenchMarkDataReport!$B$4:$CL$90,53,0),0)</f>
        <v>29770</v>
      </c>
      <c r="AJ61" s="258">
        <f>IFERROR(VLOOKUP(A61,CFR20212022_BenchMarkDataReport!$B$4:$CL$90,54,0),0)</f>
        <v>6208</v>
      </c>
      <c r="AK61" s="258">
        <f>IFERROR(VLOOKUP(A61,CFR20212022_BenchMarkDataReport!$B$4:$CL$90,55,0),0)</f>
        <v>24790</v>
      </c>
      <c r="AL61" s="258">
        <f>IFERROR(VLOOKUP(A61,CFR20212022_BenchMarkDataReport!$B$4:$CL$90,56,0),0)</f>
        <v>9499</v>
      </c>
      <c r="AM61" s="258">
        <f>IFERROR(VLOOKUP(A61,CFR20212022_BenchMarkDataReport!$B$4:$CL$90,57,0),0)</f>
        <v>8310</v>
      </c>
      <c r="AN61" s="258">
        <f>IFERROR(VLOOKUP(A61,CFR20212022_BenchMarkDataReport!$B$4:$CL$90,58,0),0)</f>
        <v>79035</v>
      </c>
      <c r="AO61" s="258">
        <f>IFERROR(VLOOKUP(A61,CFR20212022_BenchMarkDataReport!$B$4:$CL$90,59,0),0)</f>
        <v>14696</v>
      </c>
      <c r="AP61" s="258">
        <f>IFERROR(VLOOKUP(A61,CFR20212022_BenchMarkDataReport!$B$4:$CL$90,60,0),0)</f>
        <v>0</v>
      </c>
      <c r="AQ61" s="258">
        <f>IFERROR(VLOOKUP(A61,CFR20212022_BenchMarkDataReport!$B$4:$CL$90,61,0),0)</f>
        <v>14074</v>
      </c>
      <c r="AR61" s="258">
        <f>IFERROR(VLOOKUP(A61,CFR20212022_BenchMarkDataReport!$B$4:$CL$90,62,0),0)</f>
        <v>14342</v>
      </c>
      <c r="AS61" s="258">
        <f>IFERROR(VLOOKUP(A61,CFR20212022_BenchMarkDataReport!$B$4:$CL$90,63,0),0)</f>
        <v>2096</v>
      </c>
      <c r="AT61" s="258">
        <f>IFERROR(VLOOKUP(A61,CFR20212022_BenchMarkDataReport!$B$4:$CL$90,64,0),0)</f>
        <v>111733</v>
      </c>
      <c r="AU61" s="258">
        <f>IFERROR(VLOOKUP(A61,CFR20212022_BenchMarkDataReport!$B$4:$CL$90,65,0),0)</f>
        <v>6860</v>
      </c>
      <c r="AV61" s="258">
        <f>IFERROR(VLOOKUP(A61,CFR20212022_BenchMarkDataReport!$B$4:$CL$90,66,0),0)</f>
        <v>210434</v>
      </c>
      <c r="AW61" s="258">
        <f>IFERROR(VLOOKUP(A61,CFR20212022_BenchMarkDataReport!$B$4:$CL$90,67,0),0)</f>
        <v>35324</v>
      </c>
      <c r="AX61" s="258">
        <f>IFERROR(VLOOKUP(A61,CFR20212022_BenchMarkDataReport!$B$4:$CL$90,68,0),0)</f>
        <v>0</v>
      </c>
      <c r="AY61" s="258">
        <f>IFERROR(VLOOKUP(A61,CFR20212022_BenchMarkDataReport!$B$4:$CL$90,69,0),0)</f>
        <v>0</v>
      </c>
      <c r="AZ61" s="258">
        <f>IFERROR(VLOOKUP(A61,CFR20212022_BenchMarkDataReport!$B$4:$CL$90,70,0),0)</f>
        <v>41350</v>
      </c>
      <c r="BA61" s="258">
        <f>IFERROR(VLOOKUP(A61,CFR20212022_BenchMarkDataReport!$B$4:$CL$90,71,0),0)</f>
        <v>0</v>
      </c>
      <c r="BB61" s="258">
        <f>IFERROR(VLOOKUP(A61,CFR20212022_BenchMarkDataReport!$B$4:$CL$90,72,0),0)</f>
        <v>0</v>
      </c>
      <c r="BC61" s="259">
        <f t="shared" si="84"/>
        <v>2125933</v>
      </c>
      <c r="BD61" s="260">
        <f t="shared" si="81"/>
        <v>2163329</v>
      </c>
      <c r="BE61" s="300">
        <f t="shared" si="82"/>
        <v>-37396</v>
      </c>
      <c r="BF61" s="258">
        <f>IFERROR(VLOOKUP(A61,CFR20212022_BenchMarkDataReport!$B$4:$CL$90,16,0),0)</f>
        <v>285064.61</v>
      </c>
      <c r="BG61" s="300">
        <f t="shared" si="83"/>
        <v>247668.61</v>
      </c>
      <c r="BH61" s="261">
        <f>IFERROR(VLOOKUP(A61,'Pupil Nos BenchmarkData 21-22'!$A$6:$E$94,5,0),0)</f>
        <v>400</v>
      </c>
      <c r="BI61" s="260">
        <f t="shared" si="1"/>
        <v>1781032</v>
      </c>
      <c r="BJ61" s="227" t="s">
        <v>183</v>
      </c>
      <c r="BK61" s="262">
        <f t="shared" si="85"/>
        <v>0.79643337772168732</v>
      </c>
      <c r="BL61" s="263">
        <f t="shared" si="86"/>
        <v>4232.91</v>
      </c>
      <c r="BM61" s="264">
        <f t="shared" si="87"/>
        <v>0</v>
      </c>
      <c r="BN61" s="265">
        <f t="shared" si="88"/>
        <v>0</v>
      </c>
      <c r="BO61" s="262">
        <f t="shared" si="89"/>
        <v>4.1331500099015352E-2</v>
      </c>
      <c r="BP61" s="263">
        <f t="shared" si="90"/>
        <v>219.67</v>
      </c>
      <c r="BQ61" s="264">
        <f t="shared" si="91"/>
        <v>0</v>
      </c>
      <c r="BR61" s="265">
        <f t="shared" si="92"/>
        <v>0</v>
      </c>
      <c r="BS61" s="262">
        <f t="shared" si="93"/>
        <v>2.7674907911020716E-2</v>
      </c>
      <c r="BT61" s="263">
        <f t="shared" si="94"/>
        <v>147.08750000000001</v>
      </c>
      <c r="BU61" s="264">
        <f t="shared" si="95"/>
        <v>1.3899779532092497E-3</v>
      </c>
      <c r="BV61" s="265">
        <f t="shared" si="96"/>
        <v>7.3875000000000002</v>
      </c>
      <c r="BW61" s="262">
        <f t="shared" si="97"/>
        <v>7.4795395715669313E-3</v>
      </c>
      <c r="BX61" s="263">
        <f t="shared" si="98"/>
        <v>39.752499999999998</v>
      </c>
      <c r="BY61" s="264">
        <f t="shared" si="99"/>
        <v>1.6890936826325195E-2</v>
      </c>
      <c r="BZ61" s="266">
        <f t="shared" si="100"/>
        <v>89.772499999999994</v>
      </c>
      <c r="CA61" s="267">
        <f t="shared" si="101"/>
        <v>1.4573836522599724E-2</v>
      </c>
      <c r="CB61" s="268">
        <f t="shared" si="102"/>
        <v>77.457499999999996</v>
      </c>
      <c r="CC61" s="264">
        <f t="shared" si="103"/>
        <v>2.976058041339967E-2</v>
      </c>
      <c r="CD61" s="265">
        <f t="shared" si="104"/>
        <v>158.17250000000001</v>
      </c>
      <c r="CE61" s="269">
        <f t="shared" si="105"/>
        <v>0.62312580571264298</v>
      </c>
      <c r="CF61" s="267">
        <f t="shared" si="106"/>
        <v>0.52203291448977929</v>
      </c>
      <c r="CG61" s="267">
        <f t="shared" si="107"/>
        <v>0.51300888584214421</v>
      </c>
      <c r="CH61" s="268">
        <f t="shared" si="108"/>
        <v>2774.5174999999999</v>
      </c>
      <c r="CI61" s="264">
        <f t="shared" si="109"/>
        <v>0.15540989718320614</v>
      </c>
      <c r="CJ61" s="270">
        <f t="shared" si="110"/>
        <v>0.13019695352581667</v>
      </c>
      <c r="CK61" s="270">
        <f t="shared" si="111"/>
        <v>0.1279463271652162</v>
      </c>
      <c r="CL61" s="271">
        <f t="shared" si="112"/>
        <v>691.97500000000002</v>
      </c>
      <c r="CM61" s="269">
        <f t="shared" si="113"/>
        <v>2.193278952876759E-2</v>
      </c>
      <c r="CN61" s="267">
        <f t="shared" si="114"/>
        <v>1.8374520739835167E-2</v>
      </c>
      <c r="CO61" s="267">
        <f t="shared" si="115"/>
        <v>1.8056892872050437E-2</v>
      </c>
      <c r="CP61" s="268">
        <f t="shared" si="116"/>
        <v>97.657499999999999</v>
      </c>
      <c r="CQ61" s="264">
        <f t="shared" si="117"/>
        <v>5.2259588822660123E-2</v>
      </c>
      <c r="CR61" s="270">
        <f t="shared" si="118"/>
        <v>4.3781248044976018E-2</v>
      </c>
      <c r="CS61" s="270">
        <f t="shared" si="119"/>
        <v>4.3024431327828544E-2</v>
      </c>
      <c r="CT61" s="265">
        <f t="shared" si="120"/>
        <v>232.69</v>
      </c>
      <c r="CU61" s="269">
        <f t="shared" si="121"/>
        <v>0.85383362005848296</v>
      </c>
      <c r="CV61" s="267">
        <f t="shared" si="122"/>
        <v>0.71531181838750324</v>
      </c>
      <c r="CW61" s="267">
        <f t="shared" si="123"/>
        <v>0.70294670852191232</v>
      </c>
      <c r="CX61" s="268">
        <f t="shared" si="124"/>
        <v>3801.7624999999998</v>
      </c>
      <c r="CY61" s="264">
        <f t="shared" si="125"/>
        <v>8.6399345997152221E-3</v>
      </c>
      <c r="CZ61" s="270">
        <f t="shared" si="126"/>
        <v>7.1131113205619668E-3</v>
      </c>
      <c r="DA61" s="265">
        <f t="shared" si="127"/>
        <v>38.47</v>
      </c>
      <c r="DB61" s="269">
        <f t="shared" si="128"/>
        <v>2.8696513567746744E-3</v>
      </c>
      <c r="DC61" s="268">
        <f t="shared" si="129"/>
        <v>15.52</v>
      </c>
      <c r="DD61" s="264">
        <f t="shared" si="130"/>
        <v>1.3918896460029915E-2</v>
      </c>
      <c r="DE61" s="270">
        <f t="shared" si="131"/>
        <v>1.145919090438856E-2</v>
      </c>
      <c r="DF61" s="265">
        <f t="shared" si="132"/>
        <v>61.975000000000001</v>
      </c>
      <c r="DG61" s="269">
        <f t="shared" si="133"/>
        <v>4.6658341905142639E-3</v>
      </c>
      <c r="DH61" s="267">
        <f t="shared" si="134"/>
        <v>3.8413019933630065E-3</v>
      </c>
      <c r="DI61" s="272">
        <f t="shared" si="135"/>
        <v>20.774999999999999</v>
      </c>
      <c r="DJ61" s="264">
        <f t="shared" si="136"/>
        <v>4.4375957310143779E-2</v>
      </c>
      <c r="DK61" s="270">
        <f t="shared" si="137"/>
        <v>3.7176618454109328E-2</v>
      </c>
      <c r="DL61" s="270">
        <f t="shared" si="138"/>
        <v>3.6533971485613145E-2</v>
      </c>
      <c r="DM61" s="265">
        <f t="shared" si="139"/>
        <v>197.58750000000001</v>
      </c>
      <c r="DN61" s="269">
        <f t="shared" si="140"/>
        <v>7.9021600959443741E-3</v>
      </c>
      <c r="DO61" s="267">
        <f t="shared" si="141"/>
        <v>6.50571411005908E-3</v>
      </c>
      <c r="DP61" s="268">
        <f t="shared" si="142"/>
        <v>35.185000000000002</v>
      </c>
      <c r="DQ61" s="264">
        <f t="shared" si="143"/>
        <v>0.11815284621500344</v>
      </c>
      <c r="DR61" s="270">
        <f t="shared" si="144"/>
        <v>9.7273230285361126E-2</v>
      </c>
      <c r="DS61" s="265">
        <f t="shared" si="145"/>
        <v>526.08500000000004</v>
      </c>
      <c r="DT61" s="269">
        <f t="shared" si="146"/>
        <v>5.1648639665996247E-2</v>
      </c>
      <c r="DU61" s="268">
        <f t="shared" si="147"/>
        <v>279.33249999999998</v>
      </c>
      <c r="DV61" s="264">
        <f t="shared" si="2"/>
        <v>1.3761198597162058E-2</v>
      </c>
      <c r="DW61" s="265">
        <f t="shared" si="3"/>
        <v>74.424999999999997</v>
      </c>
      <c r="DX61" s="264">
        <f t="shared" si="148"/>
        <v>2.3581833453862705E-5</v>
      </c>
      <c r="DY61" s="270">
        <f t="shared" si="149"/>
        <v>1.9756031822263447E-5</v>
      </c>
      <c r="DZ61" s="270">
        <f t="shared" si="150"/>
        <v>1.9414522710137941E-5</v>
      </c>
      <c r="EA61" s="265">
        <f t="shared" si="151"/>
        <v>0.105</v>
      </c>
      <c r="EB61" s="273">
        <f>IFERROR(VLOOKUP(A61,'BARNET SCHS PUPIL PREMIUM Nos'!$E$31:$V$117,17,0),0)</f>
        <v>42</v>
      </c>
      <c r="EC61" s="258">
        <f>IFERROR(VLOOKUP(A61,CFR20212022_BenchMarkDataReport!$B$4:$CL$90,36,0),0)</f>
        <v>0</v>
      </c>
      <c r="ED61" s="258">
        <f>IFERROR(VLOOKUP(A61,CFR20212022_BenchMarkDataReport!$B$4:$CL$90,37,0),0)</f>
        <v>0</v>
      </c>
      <c r="EE61" s="258">
        <f>IFERROR(VLOOKUP(A61,CFR20212022_BenchMarkDataReport!$B$4:$CL$90,38,0),0)</f>
        <v>0</v>
      </c>
      <c r="EF61" s="258">
        <f>IFERROR(VLOOKUP(A61,CFR20212022_BenchMarkDataReport!$B$4:$CL$90,39,0),0)</f>
        <v>89775</v>
      </c>
      <c r="EG61" s="227"/>
    </row>
    <row r="62" spans="1:137" s="5" customFormat="1">
      <c r="A62" s="147">
        <v>3502</v>
      </c>
      <c r="B62" s="298">
        <v>10087</v>
      </c>
      <c r="C62" s="147" t="s">
        <v>87</v>
      </c>
      <c r="D62" s="258">
        <f>IFERROR(VLOOKUP(A62,CFR20212022_BenchMarkDataReport!$B$4:$CL$90,19,0),0)</f>
        <v>1932398</v>
      </c>
      <c r="E62" s="258">
        <f>IFERROR(VLOOKUP(A62,CFR20212022_BenchMarkDataReport!$B$4:$CL$90,20,0),0)</f>
        <v>0</v>
      </c>
      <c r="F62" s="258">
        <f>IFERROR(VLOOKUP(A62,CFR20212022_BenchMarkDataReport!$B$4:$CL$90,21,0),0)</f>
        <v>145316</v>
      </c>
      <c r="G62" s="258">
        <f>IFERROR(VLOOKUP(A62,CFR20212022_BenchMarkDataReport!$B$4:$CL$90,22,0),0)</f>
        <v>0</v>
      </c>
      <c r="H62" s="258">
        <f>IFERROR(VLOOKUP(A62,CFR20212022_BenchMarkDataReport!$B$4:$CL$90,23,0),0)</f>
        <v>121050</v>
      </c>
      <c r="I62" s="258">
        <f>IFERROR(VLOOKUP(A62,CFR20212022_BenchMarkDataReport!$B$4:$CL$90,24,0),0)</f>
        <v>0</v>
      </c>
      <c r="J62" s="258">
        <f>IFERROR(VLOOKUP(A62,CFR20212022_BenchMarkDataReport!$B$4:$CL$90,25,0),0)</f>
        <v>1081</v>
      </c>
      <c r="K62" s="258">
        <f>IFERROR(VLOOKUP(A62,CFR20212022_BenchMarkDataReport!$B$4:$CL$90,26,0),0)</f>
        <v>195</v>
      </c>
      <c r="L62" s="258">
        <f>IFERROR(VLOOKUP(A62,CFR20212022_BenchMarkDataReport!$B$4:$CL$90,27,0),0)</f>
        <v>20659</v>
      </c>
      <c r="M62" s="258">
        <f>IFERROR(VLOOKUP(A62,CFR20212022_BenchMarkDataReport!$B$4:$CL$90,28,0),0)</f>
        <v>25475</v>
      </c>
      <c r="N62" s="258">
        <f>IFERROR(VLOOKUP(A62,CFR20212022_BenchMarkDataReport!$B$4:$CL$90,29,0),0)</f>
        <v>0</v>
      </c>
      <c r="O62" s="258">
        <f>IFERROR(VLOOKUP(A62,CFR20212022_BenchMarkDataReport!$B$4:$CL$90,30,0),0)</f>
        <v>0</v>
      </c>
      <c r="P62" s="258">
        <f>IFERROR(VLOOKUP(A62,CFR20212022_BenchMarkDataReport!$B$4:$CL$90,31,0),0)</f>
        <v>19669</v>
      </c>
      <c r="Q62" s="258">
        <f>IFERROR(VLOOKUP(A62,CFR20212022_BenchMarkDataReport!$B$4:$CL$90,32,0),0)</f>
        <v>16543</v>
      </c>
      <c r="R62" s="258">
        <f>IFERROR(VLOOKUP(A62,CFR20212022_BenchMarkDataReport!$B$4:$CL$90,33,0),0)</f>
        <v>0</v>
      </c>
      <c r="S62" s="258">
        <f>IFERROR(VLOOKUP(A62,CFR20212022_BenchMarkDataReport!$B$4:$CL$90,34,0),0)</f>
        <v>0</v>
      </c>
      <c r="T62" s="258">
        <f>IFERROR(VLOOKUP(A62,CFR20212022_BenchMarkDataReport!$B$4:$CL$90,35,0),0)</f>
        <v>0</v>
      </c>
      <c r="U62" s="258">
        <f t="shared" si="0"/>
        <v>95511</v>
      </c>
      <c r="V62" s="258">
        <f>IFERROR(VLOOKUP(A62,CFR20212022_BenchMarkDataReport!$B$4:$CL$90,40,0),0)</f>
        <v>1115677</v>
      </c>
      <c r="W62" s="258">
        <f>IFERROR(VLOOKUP(A62,CFR20212022_BenchMarkDataReport!$B$4:$CL$90,41,0),0)</f>
        <v>0</v>
      </c>
      <c r="X62" s="258">
        <f>IFERROR(VLOOKUP(A62,CFR20212022_BenchMarkDataReport!$B$4:$CL$90,42,0),0)</f>
        <v>529074</v>
      </c>
      <c r="Y62" s="258">
        <f>IFERROR(VLOOKUP(A62,CFR20212022_BenchMarkDataReport!$B$4:$CL$90,43,0),0)</f>
        <v>72431</v>
      </c>
      <c r="Z62" s="258">
        <f>IFERROR(VLOOKUP(A62,CFR20212022_BenchMarkDataReport!$B$4:$CL$90,44,0),0)</f>
        <v>57172</v>
      </c>
      <c r="AA62" s="258">
        <f>IFERROR(VLOOKUP(A62,CFR20212022_BenchMarkDataReport!$B$4:$CL$90,45,0),0)</f>
        <v>0</v>
      </c>
      <c r="AB62" s="258">
        <f>IFERROR(VLOOKUP(A62,CFR20212022_BenchMarkDataReport!$B$4:$CL$90,46,0),0)</f>
        <v>20781</v>
      </c>
      <c r="AC62" s="258">
        <f>IFERROR(VLOOKUP(A62,CFR20212022_BenchMarkDataReport!$B$4:$CL$90,47,0),0)</f>
        <v>3609</v>
      </c>
      <c r="AD62" s="258">
        <f>IFERROR(VLOOKUP(A62,CFR20212022_BenchMarkDataReport!$B$4:$CL$90,48,0),0)</f>
        <v>3319</v>
      </c>
      <c r="AE62" s="258">
        <f>IFERROR(VLOOKUP(A62,CFR20212022_BenchMarkDataReport!$B$4:$CL$90,49,0),0)</f>
        <v>602</v>
      </c>
      <c r="AF62" s="258">
        <f>IFERROR(VLOOKUP(A62,CFR20212022_BenchMarkDataReport!$B$4:$CL$90,50,0),0)</f>
        <v>0</v>
      </c>
      <c r="AG62" s="258">
        <f>IFERROR(VLOOKUP(A62,CFR20212022_BenchMarkDataReport!$B$4:$CL$90,51,0),0)</f>
        <v>14231</v>
      </c>
      <c r="AH62" s="258">
        <f>IFERROR(VLOOKUP(A62,CFR20212022_BenchMarkDataReport!$B$4:$CL$90,52,0),0)</f>
        <v>23</v>
      </c>
      <c r="AI62" s="258">
        <f>IFERROR(VLOOKUP(A62,CFR20212022_BenchMarkDataReport!$B$4:$CL$90,53,0),0)</f>
        <v>2377</v>
      </c>
      <c r="AJ62" s="258">
        <f>IFERROR(VLOOKUP(A62,CFR20212022_BenchMarkDataReport!$B$4:$CL$90,54,0),0)</f>
        <v>6542</v>
      </c>
      <c r="AK62" s="258">
        <f>IFERROR(VLOOKUP(A62,CFR20212022_BenchMarkDataReport!$B$4:$CL$90,55,0),0)</f>
        <v>24581</v>
      </c>
      <c r="AL62" s="258">
        <f>IFERROR(VLOOKUP(A62,CFR20212022_BenchMarkDataReport!$B$4:$CL$90,56,0),0)</f>
        <v>6093</v>
      </c>
      <c r="AM62" s="258">
        <f>IFERROR(VLOOKUP(A62,CFR20212022_BenchMarkDataReport!$B$4:$CL$90,57,0),0)</f>
        <v>10488</v>
      </c>
      <c r="AN62" s="258">
        <f>IFERROR(VLOOKUP(A62,CFR20212022_BenchMarkDataReport!$B$4:$CL$90,58,0),0)</f>
        <v>48144</v>
      </c>
      <c r="AO62" s="258">
        <f>IFERROR(VLOOKUP(A62,CFR20212022_BenchMarkDataReport!$B$4:$CL$90,59,0),0)</f>
        <v>15849</v>
      </c>
      <c r="AP62" s="258">
        <f>IFERROR(VLOOKUP(A62,CFR20212022_BenchMarkDataReport!$B$4:$CL$90,60,0),0)</f>
        <v>0</v>
      </c>
      <c r="AQ62" s="258">
        <f>IFERROR(VLOOKUP(A62,CFR20212022_BenchMarkDataReport!$B$4:$CL$90,61,0),0)</f>
        <v>19792</v>
      </c>
      <c r="AR62" s="258">
        <f>IFERROR(VLOOKUP(A62,CFR20212022_BenchMarkDataReport!$B$4:$CL$90,62,0),0)</f>
        <v>13248</v>
      </c>
      <c r="AS62" s="258">
        <f>IFERROR(VLOOKUP(A62,CFR20212022_BenchMarkDataReport!$B$4:$CL$90,63,0),0)</f>
        <v>6109</v>
      </c>
      <c r="AT62" s="258">
        <f>IFERROR(VLOOKUP(A62,CFR20212022_BenchMarkDataReport!$B$4:$CL$90,64,0),0)</f>
        <v>102378</v>
      </c>
      <c r="AU62" s="258">
        <f>IFERROR(VLOOKUP(A62,CFR20212022_BenchMarkDataReport!$B$4:$CL$90,65,0),0)</f>
        <v>3325</v>
      </c>
      <c r="AV62" s="258">
        <f>IFERROR(VLOOKUP(A62,CFR20212022_BenchMarkDataReport!$B$4:$CL$90,66,0),0)</f>
        <v>133032</v>
      </c>
      <c r="AW62" s="258">
        <f>IFERROR(VLOOKUP(A62,CFR20212022_BenchMarkDataReport!$B$4:$CL$90,67,0),0)</f>
        <v>43376</v>
      </c>
      <c r="AX62" s="258">
        <f>IFERROR(VLOOKUP(A62,CFR20212022_BenchMarkDataReport!$B$4:$CL$90,68,0),0)</f>
        <v>0</v>
      </c>
      <c r="AY62" s="258">
        <f>IFERROR(VLOOKUP(A62,CFR20212022_BenchMarkDataReport!$B$4:$CL$90,69,0),0)</f>
        <v>0</v>
      </c>
      <c r="AZ62" s="258">
        <f>IFERROR(VLOOKUP(A62,CFR20212022_BenchMarkDataReport!$B$4:$CL$90,70,0),0)</f>
        <v>72167</v>
      </c>
      <c r="BA62" s="258">
        <f>IFERROR(VLOOKUP(A62,CFR20212022_BenchMarkDataReport!$B$4:$CL$90,71,0),0)</f>
        <v>0</v>
      </c>
      <c r="BB62" s="258">
        <f>IFERROR(VLOOKUP(A62,CFR20212022_BenchMarkDataReport!$B$4:$CL$90,72,0),0)</f>
        <v>0</v>
      </c>
      <c r="BC62" s="259">
        <f t="shared" si="84"/>
        <v>2377897</v>
      </c>
      <c r="BD62" s="260">
        <f t="shared" si="81"/>
        <v>2324420</v>
      </c>
      <c r="BE62" s="300">
        <f t="shared" si="82"/>
        <v>53477</v>
      </c>
      <c r="BF62" s="258">
        <f>IFERROR(VLOOKUP(A62,CFR20212022_BenchMarkDataReport!$B$4:$CL$90,16,0),0)</f>
        <v>566880.97</v>
      </c>
      <c r="BG62" s="300">
        <f t="shared" si="83"/>
        <v>620357.97</v>
      </c>
      <c r="BH62" s="261">
        <f>IFERROR(VLOOKUP(A62,'Pupil Nos BenchmarkData 21-22'!$A$6:$E$94,5,0),0)</f>
        <v>395.5</v>
      </c>
      <c r="BI62" s="260">
        <f t="shared" si="1"/>
        <v>2077714</v>
      </c>
      <c r="BJ62" s="227" t="s">
        <v>183</v>
      </c>
      <c r="BK62" s="262">
        <f t="shared" si="85"/>
        <v>0.81265000124059206</v>
      </c>
      <c r="BL62" s="263">
        <f t="shared" si="86"/>
        <v>4885.9620733249048</v>
      </c>
      <c r="BM62" s="264">
        <f t="shared" si="87"/>
        <v>0</v>
      </c>
      <c r="BN62" s="265">
        <f t="shared" si="88"/>
        <v>0</v>
      </c>
      <c r="BO62" s="262">
        <f t="shared" si="89"/>
        <v>6.1111141483420013E-2</v>
      </c>
      <c r="BP62" s="263">
        <f t="shared" si="90"/>
        <v>367.42351453855878</v>
      </c>
      <c r="BQ62" s="264">
        <f t="shared" si="91"/>
        <v>0</v>
      </c>
      <c r="BR62" s="265">
        <f t="shared" si="92"/>
        <v>0</v>
      </c>
      <c r="BS62" s="262">
        <f t="shared" si="93"/>
        <v>5.0906326051969451E-2</v>
      </c>
      <c r="BT62" s="263">
        <f t="shared" si="94"/>
        <v>306.06826801517064</v>
      </c>
      <c r="BU62" s="264">
        <f t="shared" si="95"/>
        <v>0</v>
      </c>
      <c r="BV62" s="265">
        <f t="shared" si="96"/>
        <v>0</v>
      </c>
      <c r="BW62" s="262">
        <f t="shared" si="97"/>
        <v>4.5460337432613778E-4</v>
      </c>
      <c r="BX62" s="263">
        <f t="shared" si="98"/>
        <v>2.7332490518331225</v>
      </c>
      <c r="BY62" s="264">
        <f t="shared" si="99"/>
        <v>8.7699341056404045E-3</v>
      </c>
      <c r="BZ62" s="266">
        <f t="shared" si="100"/>
        <v>52.728192161820481</v>
      </c>
      <c r="CA62" s="267">
        <f t="shared" si="101"/>
        <v>8.2715946064947296E-3</v>
      </c>
      <c r="CB62" s="268">
        <f t="shared" si="102"/>
        <v>49.73198482932996</v>
      </c>
      <c r="CC62" s="264">
        <f t="shared" si="103"/>
        <v>6.9569876239382947E-3</v>
      </c>
      <c r="CD62" s="265">
        <f t="shared" si="104"/>
        <v>41.828065739570164</v>
      </c>
      <c r="CE62" s="269">
        <f t="shared" si="105"/>
        <v>0.5385736439182679</v>
      </c>
      <c r="CF62" s="267">
        <f t="shared" si="106"/>
        <v>0.47058472255106087</v>
      </c>
      <c r="CG62" s="267">
        <f t="shared" si="107"/>
        <v>0.48141127679162976</v>
      </c>
      <c r="CH62" s="268">
        <f t="shared" si="108"/>
        <v>2829.3350189633375</v>
      </c>
      <c r="CI62" s="264">
        <f t="shared" si="109"/>
        <v>0.25464236174949967</v>
      </c>
      <c r="CJ62" s="270">
        <f t="shared" si="110"/>
        <v>0.22249660098818411</v>
      </c>
      <c r="CK62" s="270">
        <f t="shared" si="111"/>
        <v>0.22761549117629343</v>
      </c>
      <c r="CL62" s="271">
        <f t="shared" si="112"/>
        <v>1337.7345132743362</v>
      </c>
      <c r="CM62" s="269">
        <f t="shared" si="113"/>
        <v>3.4860909634338508E-2</v>
      </c>
      <c r="CN62" s="267">
        <f t="shared" si="114"/>
        <v>3.0460108238498134E-2</v>
      </c>
      <c r="CO62" s="267">
        <f t="shared" si="115"/>
        <v>3.1160891749339621E-2</v>
      </c>
      <c r="CP62" s="268">
        <f t="shared" si="116"/>
        <v>183.1378002528445</v>
      </c>
      <c r="CQ62" s="264">
        <f t="shared" si="117"/>
        <v>2.7516780461603475E-2</v>
      </c>
      <c r="CR62" s="270">
        <f t="shared" si="118"/>
        <v>2.4043093540216418E-2</v>
      </c>
      <c r="CS62" s="270">
        <f t="shared" si="119"/>
        <v>2.4596243363935951E-2</v>
      </c>
      <c r="CT62" s="265">
        <f t="shared" si="120"/>
        <v>144.55625790139064</v>
      </c>
      <c r="CU62" s="269">
        <f t="shared" si="121"/>
        <v>0.86399523707305237</v>
      </c>
      <c r="CV62" s="267">
        <f t="shared" si="122"/>
        <v>0.75492546565305396</v>
      </c>
      <c r="CW62" s="267">
        <f t="shared" si="123"/>
        <v>0.77229373349050512</v>
      </c>
      <c r="CX62" s="268">
        <f t="shared" si="124"/>
        <v>4538.9001264222507</v>
      </c>
      <c r="CY62" s="264">
        <f t="shared" si="125"/>
        <v>6.8493546272489865E-3</v>
      </c>
      <c r="CZ62" s="270">
        <f t="shared" si="126"/>
        <v>6.1223875203276516E-3</v>
      </c>
      <c r="DA62" s="265">
        <f t="shared" si="127"/>
        <v>35.982300884955755</v>
      </c>
      <c r="DB62" s="269">
        <f t="shared" si="128"/>
        <v>2.81446554409272E-3</v>
      </c>
      <c r="DC62" s="268">
        <f t="shared" si="129"/>
        <v>16.541087231352719</v>
      </c>
      <c r="DD62" s="264">
        <f t="shared" si="130"/>
        <v>1.183079095582934E-2</v>
      </c>
      <c r="DE62" s="270">
        <f t="shared" si="131"/>
        <v>1.0575111210538543E-2</v>
      </c>
      <c r="DF62" s="265">
        <f t="shared" si="132"/>
        <v>62.151706700379265</v>
      </c>
      <c r="DG62" s="269">
        <f t="shared" si="133"/>
        <v>5.0478554796280911E-3</v>
      </c>
      <c r="DH62" s="267">
        <f t="shared" si="134"/>
        <v>4.5120933394137029E-3</v>
      </c>
      <c r="DI62" s="272">
        <f t="shared" si="135"/>
        <v>26.518331226295828</v>
      </c>
      <c r="DJ62" s="264">
        <f t="shared" si="136"/>
        <v>2.317162034813261E-2</v>
      </c>
      <c r="DK62" s="270">
        <f t="shared" si="137"/>
        <v>2.0246461474151319E-2</v>
      </c>
      <c r="DL62" s="270">
        <f t="shared" si="138"/>
        <v>2.0712263704494024E-2</v>
      </c>
      <c r="DM62" s="265">
        <f t="shared" si="139"/>
        <v>121.72945638432364</v>
      </c>
      <c r="DN62" s="269">
        <f t="shared" si="140"/>
        <v>9.5258538951944298E-3</v>
      </c>
      <c r="DO62" s="267">
        <f t="shared" si="141"/>
        <v>8.5148122972612521E-3</v>
      </c>
      <c r="DP62" s="268">
        <f t="shared" si="142"/>
        <v>50.042983565107455</v>
      </c>
      <c r="DQ62" s="264">
        <f t="shared" si="143"/>
        <v>6.4028061610019477E-2</v>
      </c>
      <c r="DR62" s="270">
        <f t="shared" si="144"/>
        <v>5.7232341831510658E-2</v>
      </c>
      <c r="DS62" s="265">
        <f t="shared" si="145"/>
        <v>336.36409608091026</v>
      </c>
      <c r="DT62" s="269">
        <f t="shared" si="146"/>
        <v>4.4044535841199092E-2</v>
      </c>
      <c r="DU62" s="268">
        <f t="shared" si="147"/>
        <v>258.85714285714283</v>
      </c>
      <c r="DV62" s="264">
        <f t="shared" si="2"/>
        <v>1.0226206967759699E-3</v>
      </c>
      <c r="DW62" s="265">
        <f t="shared" si="3"/>
        <v>6.0101137800252848</v>
      </c>
      <c r="DX62" s="264">
        <f t="shared" si="148"/>
        <v>4.3316837639829159E-5</v>
      </c>
      <c r="DY62" s="270">
        <f t="shared" si="149"/>
        <v>3.7848569555367618E-5</v>
      </c>
      <c r="DZ62" s="270">
        <f t="shared" si="150"/>
        <v>3.8719336436616447E-5</v>
      </c>
      <c r="EA62" s="265">
        <f t="shared" si="151"/>
        <v>0.22756005056890014</v>
      </c>
      <c r="EB62" s="273">
        <f>IFERROR(VLOOKUP(A62,'BARNET SCHS PUPIL PREMIUM Nos'!$E$31:$V$117,17,0),0)</f>
        <v>90</v>
      </c>
      <c r="EC62" s="258">
        <f>IFERROR(VLOOKUP(A62,CFR20212022_BenchMarkDataReport!$B$4:$CL$90,36,0),0)</f>
        <v>0</v>
      </c>
      <c r="ED62" s="258">
        <f>IFERROR(VLOOKUP(A62,CFR20212022_BenchMarkDataReport!$B$4:$CL$90,37,0),0)</f>
        <v>0</v>
      </c>
      <c r="EE62" s="258">
        <f>IFERROR(VLOOKUP(A62,CFR20212022_BenchMarkDataReport!$B$4:$CL$90,38,0),0)</f>
        <v>0</v>
      </c>
      <c r="EF62" s="258">
        <f>IFERROR(VLOOKUP(A62,CFR20212022_BenchMarkDataReport!$B$4:$CL$90,39,0),0)</f>
        <v>95511</v>
      </c>
      <c r="EG62" s="227"/>
    </row>
    <row r="63" spans="1:137" s="5" customFormat="1">
      <c r="A63" s="147">
        <v>3315</v>
      </c>
      <c r="B63" s="298">
        <v>10099</v>
      </c>
      <c r="C63" s="147" t="s">
        <v>88</v>
      </c>
      <c r="D63" s="258">
        <f>IFERROR(VLOOKUP(A63,CFR20212022_BenchMarkDataReport!$B$4:$CL$90,19,0),0)</f>
        <v>948453.48</v>
      </c>
      <c r="E63" s="258">
        <f>IFERROR(VLOOKUP(A63,CFR20212022_BenchMarkDataReport!$B$4:$CL$90,20,0),0)</f>
        <v>0</v>
      </c>
      <c r="F63" s="258">
        <f>IFERROR(VLOOKUP(A63,CFR20212022_BenchMarkDataReport!$B$4:$CL$90,21,0),0)</f>
        <v>18036.650000000001</v>
      </c>
      <c r="G63" s="258">
        <f>IFERROR(VLOOKUP(A63,CFR20212022_BenchMarkDataReport!$B$4:$CL$90,22,0),0)</f>
        <v>0</v>
      </c>
      <c r="H63" s="258">
        <f>IFERROR(VLOOKUP(A63,CFR20212022_BenchMarkDataReport!$B$4:$CL$90,23,0),0)</f>
        <v>20175</v>
      </c>
      <c r="I63" s="258">
        <f>IFERROR(VLOOKUP(A63,CFR20212022_BenchMarkDataReport!$B$4:$CL$90,24,0),0)</f>
        <v>0</v>
      </c>
      <c r="J63" s="258">
        <f>IFERROR(VLOOKUP(A63,CFR20212022_BenchMarkDataReport!$B$4:$CL$90,25,0),0)</f>
        <v>3000</v>
      </c>
      <c r="K63" s="258">
        <f>IFERROR(VLOOKUP(A63,CFR20212022_BenchMarkDataReport!$B$4:$CL$90,26,0),0)</f>
        <v>11233.2</v>
      </c>
      <c r="L63" s="258">
        <f>IFERROR(VLOOKUP(A63,CFR20212022_BenchMarkDataReport!$B$4:$CL$90,27,0),0)</f>
        <v>35690.68</v>
      </c>
      <c r="M63" s="258">
        <f>IFERROR(VLOOKUP(A63,CFR20212022_BenchMarkDataReport!$B$4:$CL$90,28,0),0)</f>
        <v>36772.71</v>
      </c>
      <c r="N63" s="258">
        <f>IFERROR(VLOOKUP(A63,CFR20212022_BenchMarkDataReport!$B$4:$CL$90,29,0),0)</f>
        <v>5525</v>
      </c>
      <c r="O63" s="258">
        <f>IFERROR(VLOOKUP(A63,CFR20212022_BenchMarkDataReport!$B$4:$CL$90,30,0),0)</f>
        <v>0</v>
      </c>
      <c r="P63" s="258">
        <f>IFERROR(VLOOKUP(A63,CFR20212022_BenchMarkDataReport!$B$4:$CL$90,31,0),0)</f>
        <v>23120.5</v>
      </c>
      <c r="Q63" s="258">
        <f>IFERROR(VLOOKUP(A63,CFR20212022_BenchMarkDataReport!$B$4:$CL$90,32,0),0)</f>
        <v>55568.98</v>
      </c>
      <c r="R63" s="258">
        <f>IFERROR(VLOOKUP(A63,CFR20212022_BenchMarkDataReport!$B$4:$CL$90,33,0),0)</f>
        <v>0</v>
      </c>
      <c r="S63" s="258">
        <f>IFERROR(VLOOKUP(A63,CFR20212022_BenchMarkDataReport!$B$4:$CL$90,34,0),0)</f>
        <v>0</v>
      </c>
      <c r="T63" s="258">
        <f>IFERROR(VLOOKUP(A63,CFR20212022_BenchMarkDataReport!$B$4:$CL$90,35,0),0)</f>
        <v>0</v>
      </c>
      <c r="U63" s="258">
        <f t="shared" si="0"/>
        <v>61587</v>
      </c>
      <c r="V63" s="258">
        <f>IFERROR(VLOOKUP(A63,CFR20212022_BenchMarkDataReport!$B$4:$CL$90,40,0),0)</f>
        <v>631330.71</v>
      </c>
      <c r="W63" s="258">
        <f>IFERROR(VLOOKUP(A63,CFR20212022_BenchMarkDataReport!$B$4:$CL$90,41,0),0)</f>
        <v>0</v>
      </c>
      <c r="X63" s="258">
        <f>IFERROR(VLOOKUP(A63,CFR20212022_BenchMarkDataReport!$B$4:$CL$90,42,0),0)</f>
        <v>188790.23</v>
      </c>
      <c r="Y63" s="258">
        <f>IFERROR(VLOOKUP(A63,CFR20212022_BenchMarkDataReport!$B$4:$CL$90,43,0),0)</f>
        <v>36634.160000000003</v>
      </c>
      <c r="Z63" s="258">
        <f>IFERROR(VLOOKUP(A63,CFR20212022_BenchMarkDataReport!$B$4:$CL$90,44,0),0)</f>
        <v>56219</v>
      </c>
      <c r="AA63" s="258">
        <f>IFERROR(VLOOKUP(A63,CFR20212022_BenchMarkDataReport!$B$4:$CL$90,45,0),0)</f>
        <v>0</v>
      </c>
      <c r="AB63" s="258">
        <f>IFERROR(VLOOKUP(A63,CFR20212022_BenchMarkDataReport!$B$4:$CL$90,46,0),0)</f>
        <v>71825.5</v>
      </c>
      <c r="AC63" s="258">
        <f>IFERROR(VLOOKUP(A63,CFR20212022_BenchMarkDataReport!$B$4:$CL$90,47,0),0)</f>
        <v>118.45</v>
      </c>
      <c r="AD63" s="258">
        <f>IFERROR(VLOOKUP(A63,CFR20212022_BenchMarkDataReport!$B$4:$CL$90,48,0),0)</f>
        <v>1729.98</v>
      </c>
      <c r="AE63" s="258">
        <f>IFERROR(VLOOKUP(A63,CFR20212022_BenchMarkDataReport!$B$4:$CL$90,49,0),0)</f>
        <v>6404.79</v>
      </c>
      <c r="AF63" s="258">
        <f>IFERROR(VLOOKUP(A63,CFR20212022_BenchMarkDataReport!$B$4:$CL$90,50,0),0)</f>
        <v>2337.3000000000002</v>
      </c>
      <c r="AG63" s="258">
        <f>IFERROR(VLOOKUP(A63,CFR20212022_BenchMarkDataReport!$B$4:$CL$90,51,0),0)</f>
        <v>7784.89</v>
      </c>
      <c r="AH63" s="258">
        <f>IFERROR(VLOOKUP(A63,CFR20212022_BenchMarkDataReport!$B$4:$CL$90,52,0),0)</f>
        <v>0</v>
      </c>
      <c r="AI63" s="258">
        <f>IFERROR(VLOOKUP(A63,CFR20212022_BenchMarkDataReport!$B$4:$CL$90,53,0),0)</f>
        <v>3878.64</v>
      </c>
      <c r="AJ63" s="258">
        <f>IFERROR(VLOOKUP(A63,CFR20212022_BenchMarkDataReport!$B$4:$CL$90,54,0),0)</f>
        <v>2776.78</v>
      </c>
      <c r="AK63" s="258">
        <f>IFERROR(VLOOKUP(A63,CFR20212022_BenchMarkDataReport!$B$4:$CL$90,55,0),0)</f>
        <v>14029</v>
      </c>
      <c r="AL63" s="258">
        <f>IFERROR(VLOOKUP(A63,CFR20212022_BenchMarkDataReport!$B$4:$CL$90,56,0),0)</f>
        <v>3430.4</v>
      </c>
      <c r="AM63" s="258">
        <f>IFERROR(VLOOKUP(A63,CFR20212022_BenchMarkDataReport!$B$4:$CL$90,57,0),0)</f>
        <v>15017.27</v>
      </c>
      <c r="AN63" s="258">
        <f>IFERROR(VLOOKUP(A63,CFR20212022_BenchMarkDataReport!$B$4:$CL$90,58,0),0)</f>
        <v>59827.41</v>
      </c>
      <c r="AO63" s="258">
        <f>IFERROR(VLOOKUP(A63,CFR20212022_BenchMarkDataReport!$B$4:$CL$90,59,0),0)</f>
        <v>10220.66</v>
      </c>
      <c r="AP63" s="258">
        <f>IFERROR(VLOOKUP(A63,CFR20212022_BenchMarkDataReport!$B$4:$CL$90,60,0),0)</f>
        <v>0</v>
      </c>
      <c r="AQ63" s="258">
        <f>IFERROR(VLOOKUP(A63,CFR20212022_BenchMarkDataReport!$B$4:$CL$90,61,0),0)</f>
        <v>6031.07</v>
      </c>
      <c r="AR63" s="258">
        <f>IFERROR(VLOOKUP(A63,CFR20212022_BenchMarkDataReport!$B$4:$CL$90,62,0),0)</f>
        <v>4496.96</v>
      </c>
      <c r="AS63" s="258">
        <f>IFERROR(VLOOKUP(A63,CFR20212022_BenchMarkDataReport!$B$4:$CL$90,63,0),0)</f>
        <v>11148.53</v>
      </c>
      <c r="AT63" s="258">
        <f>IFERROR(VLOOKUP(A63,CFR20212022_BenchMarkDataReport!$B$4:$CL$90,64,0),0)</f>
        <v>61710.19</v>
      </c>
      <c r="AU63" s="258">
        <f>IFERROR(VLOOKUP(A63,CFR20212022_BenchMarkDataReport!$B$4:$CL$90,65,0),0)</f>
        <v>5784.46</v>
      </c>
      <c r="AV63" s="258">
        <f>IFERROR(VLOOKUP(A63,CFR20212022_BenchMarkDataReport!$B$4:$CL$90,66,0),0)</f>
        <v>8570.9699999999993</v>
      </c>
      <c r="AW63" s="258">
        <f>IFERROR(VLOOKUP(A63,CFR20212022_BenchMarkDataReport!$B$4:$CL$90,67,0),0)</f>
        <v>28023.01</v>
      </c>
      <c r="AX63" s="258">
        <f>IFERROR(VLOOKUP(A63,CFR20212022_BenchMarkDataReport!$B$4:$CL$90,68,0),0)</f>
        <v>0</v>
      </c>
      <c r="AY63" s="258">
        <f>IFERROR(VLOOKUP(A63,CFR20212022_BenchMarkDataReport!$B$4:$CL$90,69,0),0)</f>
        <v>0</v>
      </c>
      <c r="AZ63" s="258">
        <f>IFERROR(VLOOKUP(A63,CFR20212022_BenchMarkDataReport!$B$4:$CL$90,70,0),0)</f>
        <v>35766.33</v>
      </c>
      <c r="BA63" s="258">
        <f>IFERROR(VLOOKUP(A63,CFR20212022_BenchMarkDataReport!$B$4:$CL$90,71,0),0)</f>
        <v>0</v>
      </c>
      <c r="BB63" s="258">
        <f>IFERROR(VLOOKUP(A63,CFR20212022_BenchMarkDataReport!$B$4:$CL$90,72,0),0)</f>
        <v>0</v>
      </c>
      <c r="BC63" s="259">
        <f t="shared" si="84"/>
        <v>1219163.2</v>
      </c>
      <c r="BD63" s="260">
        <f t="shared" si="81"/>
        <v>1273886.69</v>
      </c>
      <c r="BE63" s="300">
        <f t="shared" si="82"/>
        <v>-54723.489999999991</v>
      </c>
      <c r="BF63" s="258">
        <f>IFERROR(VLOOKUP(A63,CFR20212022_BenchMarkDataReport!$B$4:$CL$90,16,0),0)</f>
        <v>148532.57999999999</v>
      </c>
      <c r="BG63" s="300">
        <f t="shared" si="83"/>
        <v>93809.09</v>
      </c>
      <c r="BH63" s="261">
        <f>IFERROR(VLOOKUP(A63,'Pupil Nos BenchmarkData 21-22'!$A$6:$E$94,5,0),0)</f>
        <v>207</v>
      </c>
      <c r="BI63" s="260">
        <f t="shared" si="1"/>
        <v>966490.13</v>
      </c>
      <c r="BJ63" s="227" t="s">
        <v>183</v>
      </c>
      <c r="BK63" s="262">
        <f t="shared" si="85"/>
        <v>0.7779544855028433</v>
      </c>
      <c r="BL63" s="263">
        <f t="shared" si="86"/>
        <v>4581.9008695652174</v>
      </c>
      <c r="BM63" s="264">
        <f t="shared" si="87"/>
        <v>0</v>
      </c>
      <c r="BN63" s="265">
        <f t="shared" si="88"/>
        <v>0</v>
      </c>
      <c r="BO63" s="262">
        <f t="shared" si="89"/>
        <v>1.4794286769810639E-2</v>
      </c>
      <c r="BP63" s="263">
        <f t="shared" si="90"/>
        <v>87.133574879227055</v>
      </c>
      <c r="BQ63" s="264">
        <f t="shared" si="91"/>
        <v>0</v>
      </c>
      <c r="BR63" s="265">
        <f t="shared" si="92"/>
        <v>0</v>
      </c>
      <c r="BS63" s="262">
        <f t="shared" si="93"/>
        <v>1.6548235707901947E-2</v>
      </c>
      <c r="BT63" s="263">
        <f t="shared" si="94"/>
        <v>97.463768115942031</v>
      </c>
      <c r="BU63" s="264">
        <f t="shared" si="95"/>
        <v>0</v>
      </c>
      <c r="BV63" s="265">
        <f t="shared" si="96"/>
        <v>0</v>
      </c>
      <c r="BW63" s="262">
        <f t="shared" si="97"/>
        <v>2.4607041944835605E-3</v>
      </c>
      <c r="BX63" s="263">
        <f t="shared" si="98"/>
        <v>14.492753623188406</v>
      </c>
      <c r="BY63" s="264">
        <f t="shared" si="99"/>
        <v>3.8488596112481094E-2</v>
      </c>
      <c r="BZ63" s="266">
        <f t="shared" si="100"/>
        <v>226.68541062801935</v>
      </c>
      <c r="CA63" s="267">
        <f t="shared" si="101"/>
        <v>1.8964237109519055E-2</v>
      </c>
      <c r="CB63" s="268">
        <f t="shared" si="102"/>
        <v>111.69323671497584</v>
      </c>
      <c r="CC63" s="264">
        <f t="shared" si="103"/>
        <v>4.5579607389724365E-2</v>
      </c>
      <c r="CD63" s="265">
        <f t="shared" si="104"/>
        <v>268.44917874396134</v>
      </c>
      <c r="CE63" s="269">
        <f t="shared" si="105"/>
        <v>0.65920504537382074</v>
      </c>
      <c r="CF63" s="267">
        <f t="shared" si="106"/>
        <v>0.52258399039603554</v>
      </c>
      <c r="CG63" s="267">
        <f t="shared" si="107"/>
        <v>0.50013488248315086</v>
      </c>
      <c r="CH63" s="268">
        <f t="shared" si="108"/>
        <v>3077.8510628019321</v>
      </c>
      <c r="CI63" s="264">
        <f t="shared" si="109"/>
        <v>0.19533591098338482</v>
      </c>
      <c r="CJ63" s="270">
        <f t="shared" si="110"/>
        <v>0.15485230361283872</v>
      </c>
      <c r="CK63" s="270">
        <f t="shared" si="111"/>
        <v>0.14820017469528629</v>
      </c>
      <c r="CL63" s="271">
        <f t="shared" si="112"/>
        <v>912.03009661835756</v>
      </c>
      <c r="CM63" s="269">
        <f t="shared" si="113"/>
        <v>3.7904329141985139E-2</v>
      </c>
      <c r="CN63" s="267">
        <f t="shared" si="114"/>
        <v>3.0048610391127294E-2</v>
      </c>
      <c r="CO63" s="267">
        <f t="shared" si="115"/>
        <v>2.8757785356875034E-2</v>
      </c>
      <c r="CP63" s="268">
        <f t="shared" si="116"/>
        <v>176.97661835748795</v>
      </c>
      <c r="CQ63" s="264">
        <f t="shared" si="117"/>
        <v>5.8168209125943171E-2</v>
      </c>
      <c r="CR63" s="270">
        <f t="shared" si="118"/>
        <v>4.6112776369890432E-2</v>
      </c>
      <c r="CS63" s="270">
        <f t="shared" si="119"/>
        <v>4.4131868588720403E-2</v>
      </c>
      <c r="CT63" s="265">
        <f t="shared" si="120"/>
        <v>271.58937198067633</v>
      </c>
      <c r="CU63" s="269">
        <f t="shared" si="121"/>
        <v>1.0189442907192441</v>
      </c>
      <c r="CV63" s="267">
        <f t="shared" si="122"/>
        <v>0.80776683548191086</v>
      </c>
      <c r="CW63" s="267">
        <f t="shared" si="123"/>
        <v>0.77306687300422305</v>
      </c>
      <c r="CX63" s="268">
        <f t="shared" si="124"/>
        <v>4757.4859903381639</v>
      </c>
      <c r="CY63" s="264">
        <f t="shared" si="125"/>
        <v>8.0548054846664597E-3</v>
      </c>
      <c r="CZ63" s="270">
        <f t="shared" si="126"/>
        <v>6.1111322232277982E-3</v>
      </c>
      <c r="DA63" s="265">
        <f t="shared" si="127"/>
        <v>37.608164251207732</v>
      </c>
      <c r="DB63" s="269">
        <f t="shared" si="128"/>
        <v>2.1797700076448719E-3</v>
      </c>
      <c r="DC63" s="268">
        <f t="shared" si="129"/>
        <v>13.414396135265701</v>
      </c>
      <c r="DD63" s="264">
        <f t="shared" si="130"/>
        <v>1.451540948483354E-2</v>
      </c>
      <c r="DE63" s="270">
        <f t="shared" si="131"/>
        <v>1.1012753418437868E-2</v>
      </c>
      <c r="DF63" s="265">
        <f t="shared" si="132"/>
        <v>67.772946859903385</v>
      </c>
      <c r="DG63" s="269">
        <f t="shared" si="133"/>
        <v>1.5537944500271307E-2</v>
      </c>
      <c r="DH63" s="267">
        <f t="shared" si="134"/>
        <v>1.1788544552577123E-2</v>
      </c>
      <c r="DI63" s="272">
        <f t="shared" si="135"/>
        <v>72.547198067632849</v>
      </c>
      <c r="DJ63" s="264">
        <f t="shared" si="136"/>
        <v>6.1901728887805617E-2</v>
      </c>
      <c r="DK63" s="270">
        <f t="shared" si="137"/>
        <v>4.9072519577362576E-2</v>
      </c>
      <c r="DL63" s="270">
        <f t="shared" si="138"/>
        <v>4.6964467459817798E-2</v>
      </c>
      <c r="DM63" s="265">
        <f t="shared" si="139"/>
        <v>289.02130434782612</v>
      </c>
      <c r="DN63" s="269">
        <f t="shared" si="140"/>
        <v>6.2401775380779108E-3</v>
      </c>
      <c r="DO63" s="267">
        <f t="shared" si="141"/>
        <v>4.7343849710840451E-3</v>
      </c>
      <c r="DP63" s="268">
        <f t="shared" si="142"/>
        <v>29.1356038647343</v>
      </c>
      <c r="DQ63" s="264">
        <f t="shared" si="143"/>
        <v>8.8681402261190177E-3</v>
      </c>
      <c r="DR63" s="270">
        <f t="shared" si="144"/>
        <v>6.7282043742838693E-3</v>
      </c>
      <c r="DS63" s="265">
        <f t="shared" si="145"/>
        <v>41.40565217391304</v>
      </c>
      <c r="DT63" s="269">
        <f t="shared" si="146"/>
        <v>4.8442448205499346E-2</v>
      </c>
      <c r="DU63" s="268">
        <f t="shared" si="147"/>
        <v>298.11685990338168</v>
      </c>
      <c r="DV63" s="264">
        <f t="shared" si="2"/>
        <v>3.0447291980105389E-3</v>
      </c>
      <c r="DW63" s="265">
        <f t="shared" si="3"/>
        <v>18.737391304347824</v>
      </c>
      <c r="DX63" s="264">
        <f t="shared" si="148"/>
        <v>1.552007571975929E-5</v>
      </c>
      <c r="DY63" s="270">
        <f t="shared" si="149"/>
        <v>1.2303520972417803E-5</v>
      </c>
      <c r="DZ63" s="270">
        <f t="shared" si="150"/>
        <v>1.1774987616834274E-5</v>
      </c>
      <c r="EA63" s="265">
        <f t="shared" si="151"/>
        <v>7.2463768115942032E-2</v>
      </c>
      <c r="EB63" s="273">
        <f>IFERROR(VLOOKUP(A63,'BARNET SCHS PUPIL PREMIUM Nos'!$E$31:$V$117,17,0),0)</f>
        <v>15</v>
      </c>
      <c r="EC63" s="258">
        <f>IFERROR(VLOOKUP(A63,CFR20212022_BenchMarkDataReport!$B$4:$CL$90,36,0),0)</f>
        <v>0</v>
      </c>
      <c r="ED63" s="258">
        <f>IFERROR(VLOOKUP(A63,CFR20212022_BenchMarkDataReport!$B$4:$CL$90,37,0),0)</f>
        <v>2032.5</v>
      </c>
      <c r="EE63" s="258">
        <f>IFERROR(VLOOKUP(A63,CFR20212022_BenchMarkDataReport!$B$4:$CL$90,38,0),0)</f>
        <v>6930</v>
      </c>
      <c r="EF63" s="258">
        <f>IFERROR(VLOOKUP(A63,CFR20212022_BenchMarkDataReport!$B$4:$CL$90,39,0),0)</f>
        <v>52624.5</v>
      </c>
      <c r="EG63" s="227"/>
    </row>
    <row r="64" spans="1:137" s="5" customFormat="1">
      <c r="A64" s="147">
        <v>3504</v>
      </c>
      <c r="B64" s="298">
        <v>10088</v>
      </c>
      <c r="C64" s="147" t="s">
        <v>89</v>
      </c>
      <c r="D64" s="258">
        <f>IFERROR(VLOOKUP(A64,CFR20212022_BenchMarkDataReport!$B$4:$CL$90,19,0),0)</f>
        <v>2017750.72</v>
      </c>
      <c r="E64" s="258">
        <f>IFERROR(VLOOKUP(A64,CFR20212022_BenchMarkDataReport!$B$4:$CL$90,20,0),0)</f>
        <v>0</v>
      </c>
      <c r="F64" s="258">
        <f>IFERROR(VLOOKUP(A64,CFR20212022_BenchMarkDataReport!$B$4:$CL$90,21,0),0)</f>
        <v>68902.399999999994</v>
      </c>
      <c r="G64" s="258">
        <f>IFERROR(VLOOKUP(A64,CFR20212022_BenchMarkDataReport!$B$4:$CL$90,22,0),0)</f>
        <v>0</v>
      </c>
      <c r="H64" s="258">
        <f>IFERROR(VLOOKUP(A64,CFR20212022_BenchMarkDataReport!$B$4:$CL$90,23,0),0)</f>
        <v>60140</v>
      </c>
      <c r="I64" s="258">
        <f>IFERROR(VLOOKUP(A64,CFR20212022_BenchMarkDataReport!$B$4:$CL$90,24,0),0)</f>
        <v>8500</v>
      </c>
      <c r="J64" s="258">
        <f>IFERROR(VLOOKUP(A64,CFR20212022_BenchMarkDataReport!$B$4:$CL$90,25,0),0)</f>
        <v>1000</v>
      </c>
      <c r="K64" s="258">
        <f>IFERROR(VLOOKUP(A64,CFR20212022_BenchMarkDataReport!$B$4:$CL$90,26,0),0)</f>
        <v>1820</v>
      </c>
      <c r="L64" s="258">
        <f>IFERROR(VLOOKUP(A64,CFR20212022_BenchMarkDataReport!$B$4:$CL$90,27,0),0)</f>
        <v>181158.89</v>
      </c>
      <c r="M64" s="258">
        <f>IFERROR(VLOOKUP(A64,CFR20212022_BenchMarkDataReport!$B$4:$CL$90,28,0),0)</f>
        <v>48690.63</v>
      </c>
      <c r="N64" s="258">
        <f>IFERROR(VLOOKUP(A64,CFR20212022_BenchMarkDataReport!$B$4:$CL$90,29,0),0)</f>
        <v>3150</v>
      </c>
      <c r="O64" s="258">
        <f>IFERROR(VLOOKUP(A64,CFR20212022_BenchMarkDataReport!$B$4:$CL$90,30,0),0)</f>
        <v>0</v>
      </c>
      <c r="P64" s="258">
        <f>IFERROR(VLOOKUP(A64,CFR20212022_BenchMarkDataReport!$B$4:$CL$90,31,0),0)</f>
        <v>18267.79</v>
      </c>
      <c r="Q64" s="258">
        <f>IFERROR(VLOOKUP(A64,CFR20212022_BenchMarkDataReport!$B$4:$CL$90,32,0),0)</f>
        <v>39669.43</v>
      </c>
      <c r="R64" s="258">
        <f>IFERROR(VLOOKUP(A64,CFR20212022_BenchMarkDataReport!$B$4:$CL$90,33,0),0)</f>
        <v>0</v>
      </c>
      <c r="S64" s="258">
        <f>IFERROR(VLOOKUP(A64,CFR20212022_BenchMarkDataReport!$B$4:$CL$90,34,0),0)</f>
        <v>0</v>
      </c>
      <c r="T64" s="258">
        <f>IFERROR(VLOOKUP(A64,CFR20212022_BenchMarkDataReport!$B$4:$CL$90,35,0),0)</f>
        <v>0</v>
      </c>
      <c r="U64" s="258">
        <f t="shared" si="0"/>
        <v>108930.21</v>
      </c>
      <c r="V64" s="258">
        <f>IFERROR(VLOOKUP(A64,CFR20212022_BenchMarkDataReport!$B$4:$CL$90,40,0),0)</f>
        <v>1193401.3999999999</v>
      </c>
      <c r="W64" s="258">
        <f>IFERROR(VLOOKUP(A64,CFR20212022_BenchMarkDataReport!$B$4:$CL$90,41,0),0)</f>
        <v>0</v>
      </c>
      <c r="X64" s="258">
        <f>IFERROR(VLOOKUP(A64,CFR20212022_BenchMarkDataReport!$B$4:$CL$90,42,0),0)</f>
        <v>481752.81</v>
      </c>
      <c r="Y64" s="258">
        <f>IFERROR(VLOOKUP(A64,CFR20212022_BenchMarkDataReport!$B$4:$CL$90,43,0),0)</f>
        <v>27042.14</v>
      </c>
      <c r="Z64" s="258">
        <f>IFERROR(VLOOKUP(A64,CFR20212022_BenchMarkDataReport!$B$4:$CL$90,44,0),0)</f>
        <v>146660.78</v>
      </c>
      <c r="AA64" s="258">
        <f>IFERROR(VLOOKUP(A64,CFR20212022_BenchMarkDataReport!$B$4:$CL$90,45,0),0)</f>
        <v>0</v>
      </c>
      <c r="AB64" s="258">
        <f>IFERROR(VLOOKUP(A64,CFR20212022_BenchMarkDataReport!$B$4:$CL$90,46,0),0)</f>
        <v>67532.3</v>
      </c>
      <c r="AC64" s="258">
        <f>IFERROR(VLOOKUP(A64,CFR20212022_BenchMarkDataReport!$B$4:$CL$90,47,0),0)</f>
        <v>2008.92</v>
      </c>
      <c r="AD64" s="258">
        <f>IFERROR(VLOOKUP(A64,CFR20212022_BenchMarkDataReport!$B$4:$CL$90,48,0),0)</f>
        <v>8616.5</v>
      </c>
      <c r="AE64" s="258">
        <f>IFERROR(VLOOKUP(A64,CFR20212022_BenchMarkDataReport!$B$4:$CL$90,49,0),0)</f>
        <v>11652.6</v>
      </c>
      <c r="AF64" s="258">
        <f>IFERROR(VLOOKUP(A64,CFR20212022_BenchMarkDataReport!$B$4:$CL$90,50,0),0)</f>
        <v>0</v>
      </c>
      <c r="AG64" s="258">
        <f>IFERROR(VLOOKUP(A64,CFR20212022_BenchMarkDataReport!$B$4:$CL$90,51,0),0)</f>
        <v>16448.150000000001</v>
      </c>
      <c r="AH64" s="258">
        <f>IFERROR(VLOOKUP(A64,CFR20212022_BenchMarkDataReport!$B$4:$CL$90,52,0),0)</f>
        <v>12119.92</v>
      </c>
      <c r="AI64" s="258">
        <f>IFERROR(VLOOKUP(A64,CFR20212022_BenchMarkDataReport!$B$4:$CL$90,53,0),0)</f>
        <v>33189.629999999997</v>
      </c>
      <c r="AJ64" s="258">
        <f>IFERROR(VLOOKUP(A64,CFR20212022_BenchMarkDataReport!$B$4:$CL$90,54,0),0)</f>
        <v>6836.64</v>
      </c>
      <c r="AK64" s="258">
        <f>IFERROR(VLOOKUP(A64,CFR20212022_BenchMarkDataReport!$B$4:$CL$90,55,0),0)</f>
        <v>20987.51</v>
      </c>
      <c r="AL64" s="258">
        <f>IFERROR(VLOOKUP(A64,CFR20212022_BenchMarkDataReport!$B$4:$CL$90,56,0),0)</f>
        <v>6668.4</v>
      </c>
      <c r="AM64" s="258">
        <f>IFERROR(VLOOKUP(A64,CFR20212022_BenchMarkDataReport!$B$4:$CL$90,57,0),0)</f>
        <v>13653.27</v>
      </c>
      <c r="AN64" s="258">
        <f>IFERROR(VLOOKUP(A64,CFR20212022_BenchMarkDataReport!$B$4:$CL$90,58,0),0)</f>
        <v>94122.67</v>
      </c>
      <c r="AO64" s="258">
        <f>IFERROR(VLOOKUP(A64,CFR20212022_BenchMarkDataReport!$B$4:$CL$90,59,0),0)</f>
        <v>20985.48</v>
      </c>
      <c r="AP64" s="258">
        <f>IFERROR(VLOOKUP(A64,CFR20212022_BenchMarkDataReport!$B$4:$CL$90,60,0),0)</f>
        <v>0</v>
      </c>
      <c r="AQ64" s="258">
        <f>IFERROR(VLOOKUP(A64,CFR20212022_BenchMarkDataReport!$B$4:$CL$90,61,0),0)</f>
        <v>18322.919999999998</v>
      </c>
      <c r="AR64" s="258">
        <f>IFERROR(VLOOKUP(A64,CFR20212022_BenchMarkDataReport!$B$4:$CL$90,62,0),0)</f>
        <v>15350.87</v>
      </c>
      <c r="AS64" s="258">
        <f>IFERROR(VLOOKUP(A64,CFR20212022_BenchMarkDataReport!$B$4:$CL$90,63,0),0)</f>
        <v>26977.41</v>
      </c>
      <c r="AT64" s="258">
        <f>IFERROR(VLOOKUP(A64,CFR20212022_BenchMarkDataReport!$B$4:$CL$90,64,0),0)</f>
        <v>129112.85</v>
      </c>
      <c r="AU64" s="258">
        <f>IFERROR(VLOOKUP(A64,CFR20212022_BenchMarkDataReport!$B$4:$CL$90,65,0),0)</f>
        <v>18348.02</v>
      </c>
      <c r="AV64" s="258">
        <f>IFERROR(VLOOKUP(A64,CFR20212022_BenchMarkDataReport!$B$4:$CL$90,66,0),0)</f>
        <v>59912.53</v>
      </c>
      <c r="AW64" s="258">
        <f>IFERROR(VLOOKUP(A64,CFR20212022_BenchMarkDataReport!$B$4:$CL$90,67,0),0)</f>
        <v>60496.88</v>
      </c>
      <c r="AX64" s="258">
        <f>IFERROR(VLOOKUP(A64,CFR20212022_BenchMarkDataReport!$B$4:$CL$90,68,0),0)</f>
        <v>0</v>
      </c>
      <c r="AY64" s="258">
        <f>IFERROR(VLOOKUP(A64,CFR20212022_BenchMarkDataReport!$B$4:$CL$90,69,0),0)</f>
        <v>0</v>
      </c>
      <c r="AZ64" s="258">
        <f>IFERROR(VLOOKUP(A64,CFR20212022_BenchMarkDataReport!$B$4:$CL$90,70,0),0)</f>
        <v>23381</v>
      </c>
      <c r="BA64" s="258">
        <f>IFERROR(VLOOKUP(A64,CFR20212022_BenchMarkDataReport!$B$4:$CL$90,71,0),0)</f>
        <v>0</v>
      </c>
      <c r="BB64" s="258">
        <f>IFERROR(VLOOKUP(A64,CFR20212022_BenchMarkDataReport!$B$4:$CL$90,72,0),0)</f>
        <v>0</v>
      </c>
      <c r="BC64" s="259">
        <f t="shared" si="84"/>
        <v>2557980.0700000003</v>
      </c>
      <c r="BD64" s="260">
        <f t="shared" si="81"/>
        <v>2515581.5999999996</v>
      </c>
      <c r="BE64" s="300">
        <f t="shared" si="82"/>
        <v>42398.470000000671</v>
      </c>
      <c r="BF64" s="258">
        <f>IFERROR(VLOOKUP(A64,CFR20212022_BenchMarkDataReport!$B$4:$CL$90,16,0),0)</f>
        <v>72412.039999999994</v>
      </c>
      <c r="BG64" s="300">
        <f t="shared" si="83"/>
        <v>114810.51000000066</v>
      </c>
      <c r="BH64" s="261">
        <f>IFERROR(VLOOKUP(A64,'Pupil Nos BenchmarkData 21-22'!$A$6:$E$94,5,0),0)</f>
        <v>459.5</v>
      </c>
      <c r="BI64" s="260">
        <f t="shared" si="1"/>
        <v>2086653.1199999999</v>
      </c>
      <c r="BJ64" s="227" t="s">
        <v>183</v>
      </c>
      <c r="BK64" s="262">
        <f t="shared" si="85"/>
        <v>0.78880627087919408</v>
      </c>
      <c r="BL64" s="263">
        <f t="shared" si="86"/>
        <v>4391.1876387377588</v>
      </c>
      <c r="BM64" s="264">
        <f t="shared" si="87"/>
        <v>0</v>
      </c>
      <c r="BN64" s="265">
        <f t="shared" si="88"/>
        <v>0</v>
      </c>
      <c r="BO64" s="262">
        <f t="shared" si="89"/>
        <v>2.6936253651108386E-2</v>
      </c>
      <c r="BP64" s="263">
        <f t="shared" si="90"/>
        <v>149.95081610446135</v>
      </c>
      <c r="BQ64" s="264">
        <f t="shared" si="91"/>
        <v>0</v>
      </c>
      <c r="BR64" s="265">
        <f t="shared" si="92"/>
        <v>0</v>
      </c>
      <c r="BS64" s="262">
        <f t="shared" si="93"/>
        <v>2.3510738299067354E-2</v>
      </c>
      <c r="BT64" s="263">
        <f t="shared" si="94"/>
        <v>130.88139281828074</v>
      </c>
      <c r="BU64" s="264">
        <f t="shared" si="95"/>
        <v>3.3229344120730381E-3</v>
      </c>
      <c r="BV64" s="265">
        <f t="shared" si="96"/>
        <v>18.498367791077257</v>
      </c>
      <c r="BW64" s="262">
        <f t="shared" si="97"/>
        <v>3.9093346024388683E-4</v>
      </c>
      <c r="BX64" s="263">
        <f t="shared" si="98"/>
        <v>2.1762785636561479</v>
      </c>
      <c r="BY64" s="264">
        <f t="shared" si="99"/>
        <v>7.1532570619285543E-2</v>
      </c>
      <c r="BZ64" s="266">
        <f t="shared" si="100"/>
        <v>398.21303590859634</v>
      </c>
      <c r="CA64" s="267">
        <f t="shared" si="101"/>
        <v>7.1414903557086738E-3</v>
      </c>
      <c r="CB64" s="268">
        <f t="shared" si="102"/>
        <v>39.755799782372144</v>
      </c>
      <c r="CC64" s="264">
        <f t="shared" si="103"/>
        <v>1.5508107535802652E-2</v>
      </c>
      <c r="CD64" s="265">
        <f t="shared" si="104"/>
        <v>86.33173014145811</v>
      </c>
      <c r="CE64" s="269">
        <f t="shared" si="105"/>
        <v>0.58071435466954857</v>
      </c>
      <c r="CF64" s="267">
        <f t="shared" si="106"/>
        <v>0.47371339370912291</v>
      </c>
      <c r="CG64" s="267">
        <f t="shared" si="107"/>
        <v>0.48169752076418437</v>
      </c>
      <c r="CH64" s="268">
        <f t="shared" si="108"/>
        <v>2637.1042872687703</v>
      </c>
      <c r="CI64" s="264">
        <f t="shared" si="109"/>
        <v>0.23087345250752556</v>
      </c>
      <c r="CJ64" s="270">
        <f t="shared" si="110"/>
        <v>0.18833329299551577</v>
      </c>
      <c r="CK64" s="270">
        <f t="shared" si="111"/>
        <v>0.19150752652984904</v>
      </c>
      <c r="CL64" s="271">
        <f t="shared" si="112"/>
        <v>1048.4283133841132</v>
      </c>
      <c r="CM64" s="269">
        <f t="shared" si="113"/>
        <v>1.2959576146513514E-2</v>
      </c>
      <c r="CN64" s="267">
        <f t="shared" si="114"/>
        <v>1.0571677362599622E-2</v>
      </c>
      <c r="CO64" s="267">
        <f t="shared" si="115"/>
        <v>1.0749856017391765E-2</v>
      </c>
      <c r="CP64" s="268">
        <f t="shared" si="116"/>
        <v>58.851229597388468</v>
      </c>
      <c r="CQ64" s="264">
        <f t="shared" si="117"/>
        <v>7.0285175142095493E-2</v>
      </c>
      <c r="CR64" s="270">
        <f t="shared" si="118"/>
        <v>5.7334606207467435E-2</v>
      </c>
      <c r="CS64" s="270">
        <f t="shared" si="119"/>
        <v>5.8300943209315899E-2</v>
      </c>
      <c r="CT64" s="265">
        <f t="shared" si="120"/>
        <v>319.17471164309029</v>
      </c>
      <c r="CU64" s="269">
        <f t="shared" si="121"/>
        <v>0.91840345270228718</v>
      </c>
      <c r="CV64" s="267">
        <f t="shared" si="122"/>
        <v>0.74918075104470994</v>
      </c>
      <c r="CW64" s="267">
        <f t="shared" si="123"/>
        <v>0.76180769886375388</v>
      </c>
      <c r="CX64" s="268">
        <f t="shared" si="124"/>
        <v>4170.5972361262238</v>
      </c>
      <c r="CY64" s="264">
        <f t="shared" si="125"/>
        <v>7.8825511736229561E-3</v>
      </c>
      <c r="CZ64" s="270">
        <f t="shared" si="126"/>
        <v>6.5385078345301956E-3</v>
      </c>
      <c r="DA64" s="265">
        <f t="shared" si="127"/>
        <v>35.795756256800871</v>
      </c>
      <c r="DB64" s="269">
        <f t="shared" si="128"/>
        <v>2.7177174455402285E-3</v>
      </c>
      <c r="DC64" s="268">
        <f t="shared" si="129"/>
        <v>14.878433079434169</v>
      </c>
      <c r="DD64" s="264">
        <f t="shared" si="130"/>
        <v>1.0057977437093137E-2</v>
      </c>
      <c r="DE64" s="270">
        <f t="shared" si="131"/>
        <v>8.3430050529865549E-3</v>
      </c>
      <c r="DF64" s="265">
        <f t="shared" si="132"/>
        <v>45.67466811751904</v>
      </c>
      <c r="DG64" s="269">
        <f t="shared" si="133"/>
        <v>6.5431431171463711E-3</v>
      </c>
      <c r="DH64" s="267">
        <f t="shared" si="134"/>
        <v>5.4274804681350838E-3</v>
      </c>
      <c r="DI64" s="272">
        <f t="shared" si="135"/>
        <v>29.713318824809576</v>
      </c>
      <c r="DJ64" s="264">
        <f t="shared" si="136"/>
        <v>4.5107003697864266E-2</v>
      </c>
      <c r="DK64" s="270">
        <f t="shared" si="137"/>
        <v>3.6795701070493479E-2</v>
      </c>
      <c r="DL64" s="270">
        <f t="shared" si="138"/>
        <v>3.7415868362210954E-2</v>
      </c>
      <c r="DM64" s="265">
        <f t="shared" si="139"/>
        <v>204.83714907508161</v>
      </c>
      <c r="DN64" s="269">
        <f t="shared" si="140"/>
        <v>8.7810090831005015E-3</v>
      </c>
      <c r="DO64" s="267">
        <f t="shared" si="141"/>
        <v>7.283770878273239E-3</v>
      </c>
      <c r="DP64" s="268">
        <f t="shared" si="142"/>
        <v>39.875778019586505</v>
      </c>
      <c r="DQ64" s="264">
        <f t="shared" si="143"/>
        <v>2.8712261480240666E-2</v>
      </c>
      <c r="DR64" s="270">
        <f t="shared" si="144"/>
        <v>2.3816571881428935E-2</v>
      </c>
      <c r="DS64" s="265">
        <f t="shared" si="145"/>
        <v>130.38635473340588</v>
      </c>
      <c r="DT64" s="269">
        <f t="shared" si="146"/>
        <v>5.1325248205027429E-2</v>
      </c>
      <c r="DU64" s="268">
        <f t="shared" si="147"/>
        <v>280.98552774755171</v>
      </c>
      <c r="DV64" s="264">
        <f t="shared" si="2"/>
        <v>1.3193620910567959E-2</v>
      </c>
      <c r="DW64" s="265">
        <f t="shared" si="3"/>
        <v>72.229880304679</v>
      </c>
      <c r="DX64" s="264">
        <f t="shared" si="148"/>
        <v>1.8690217183774178E-5</v>
      </c>
      <c r="DY64" s="270">
        <f t="shared" si="149"/>
        <v>1.5246404949511587E-5</v>
      </c>
      <c r="DZ64" s="270">
        <f t="shared" si="150"/>
        <v>1.5503373056950332E-5</v>
      </c>
      <c r="EA64" s="265">
        <f t="shared" si="151"/>
        <v>8.4874863982589768E-2</v>
      </c>
      <c r="EB64" s="273">
        <f>IFERROR(VLOOKUP(A64,'BARNET SCHS PUPIL PREMIUM Nos'!$E$31:$V$117,17,0),0)</f>
        <v>39</v>
      </c>
      <c r="EC64" s="258">
        <f>IFERROR(VLOOKUP(A64,CFR20212022_BenchMarkDataReport!$B$4:$CL$90,36,0),0)</f>
        <v>0</v>
      </c>
      <c r="ED64" s="258">
        <f>IFERROR(VLOOKUP(A64,CFR20212022_BenchMarkDataReport!$B$4:$CL$90,37,0),0)</f>
        <v>0</v>
      </c>
      <c r="EE64" s="258">
        <f>IFERROR(VLOOKUP(A64,CFR20212022_BenchMarkDataReport!$B$4:$CL$90,38,0),0)</f>
        <v>19661.88</v>
      </c>
      <c r="EF64" s="258">
        <f>IFERROR(VLOOKUP(A64,CFR20212022_BenchMarkDataReport!$B$4:$CL$90,39,0),0)</f>
        <v>89268.33</v>
      </c>
      <c r="EG64" s="227"/>
    </row>
    <row r="65" spans="1:137" s="5" customFormat="1">
      <c r="A65" s="147">
        <v>3307</v>
      </c>
      <c r="B65" s="298">
        <v>10089</v>
      </c>
      <c r="C65" s="147" t="s">
        <v>90</v>
      </c>
      <c r="D65" s="258">
        <f>IFERROR(VLOOKUP(A65,CFR20212022_BenchMarkDataReport!$B$4:$CL$90,19,0),0)</f>
        <v>1080868.3799999999</v>
      </c>
      <c r="E65" s="258">
        <f>IFERROR(VLOOKUP(A65,CFR20212022_BenchMarkDataReport!$B$4:$CL$90,20,0),0)</f>
        <v>0</v>
      </c>
      <c r="F65" s="258">
        <f>IFERROR(VLOOKUP(A65,CFR20212022_BenchMarkDataReport!$B$4:$CL$90,21,0),0)</f>
        <v>13533.28</v>
      </c>
      <c r="G65" s="258">
        <f>IFERROR(VLOOKUP(A65,CFR20212022_BenchMarkDataReport!$B$4:$CL$90,22,0),0)</f>
        <v>0</v>
      </c>
      <c r="H65" s="258">
        <f>IFERROR(VLOOKUP(A65,CFR20212022_BenchMarkDataReport!$B$4:$CL$90,23,0),0)</f>
        <v>27900.03</v>
      </c>
      <c r="I65" s="258">
        <f>IFERROR(VLOOKUP(A65,CFR20212022_BenchMarkDataReport!$B$4:$CL$90,24,0),0)</f>
        <v>3475</v>
      </c>
      <c r="J65" s="258">
        <f>IFERROR(VLOOKUP(A65,CFR20212022_BenchMarkDataReport!$B$4:$CL$90,25,0),0)</f>
        <v>250</v>
      </c>
      <c r="K65" s="258">
        <f>IFERROR(VLOOKUP(A65,CFR20212022_BenchMarkDataReport!$B$4:$CL$90,26,0),0)</f>
        <v>50872.25</v>
      </c>
      <c r="L65" s="258">
        <f>IFERROR(VLOOKUP(A65,CFR20212022_BenchMarkDataReport!$B$4:$CL$90,27,0),0)</f>
        <v>26887.94</v>
      </c>
      <c r="M65" s="258">
        <f>IFERROR(VLOOKUP(A65,CFR20212022_BenchMarkDataReport!$B$4:$CL$90,28,0),0)</f>
        <v>22853.67</v>
      </c>
      <c r="N65" s="258">
        <f>IFERROR(VLOOKUP(A65,CFR20212022_BenchMarkDataReport!$B$4:$CL$90,29,0),0)</f>
        <v>0</v>
      </c>
      <c r="O65" s="258">
        <f>IFERROR(VLOOKUP(A65,CFR20212022_BenchMarkDataReport!$B$4:$CL$90,30,0),0)</f>
        <v>0</v>
      </c>
      <c r="P65" s="258">
        <f>IFERROR(VLOOKUP(A65,CFR20212022_BenchMarkDataReport!$B$4:$CL$90,31,0),0)</f>
        <v>12861.8</v>
      </c>
      <c r="Q65" s="258">
        <f>IFERROR(VLOOKUP(A65,CFR20212022_BenchMarkDataReport!$B$4:$CL$90,32,0),0)</f>
        <v>10864.37</v>
      </c>
      <c r="R65" s="258">
        <f>IFERROR(VLOOKUP(A65,CFR20212022_BenchMarkDataReport!$B$4:$CL$90,33,0),0)</f>
        <v>0</v>
      </c>
      <c r="S65" s="258">
        <f>IFERROR(VLOOKUP(A65,CFR20212022_BenchMarkDataReport!$B$4:$CL$90,34,0),0)</f>
        <v>0</v>
      </c>
      <c r="T65" s="258">
        <f>IFERROR(VLOOKUP(A65,CFR20212022_BenchMarkDataReport!$B$4:$CL$90,35,0),0)</f>
        <v>0</v>
      </c>
      <c r="U65" s="258">
        <f t="shared" si="0"/>
        <v>60732.049999999996</v>
      </c>
      <c r="V65" s="258">
        <f>IFERROR(VLOOKUP(A65,CFR20212022_BenchMarkDataReport!$B$4:$CL$90,40,0),0)</f>
        <v>657250.36</v>
      </c>
      <c r="W65" s="258">
        <f>IFERROR(VLOOKUP(A65,CFR20212022_BenchMarkDataReport!$B$4:$CL$90,41,0),0)</f>
        <v>0</v>
      </c>
      <c r="X65" s="258">
        <f>IFERROR(VLOOKUP(A65,CFR20212022_BenchMarkDataReport!$B$4:$CL$90,42,0),0)</f>
        <v>221814.14</v>
      </c>
      <c r="Y65" s="258">
        <f>IFERROR(VLOOKUP(A65,CFR20212022_BenchMarkDataReport!$B$4:$CL$90,43,0),0)</f>
        <v>62959.19</v>
      </c>
      <c r="Z65" s="258">
        <f>IFERROR(VLOOKUP(A65,CFR20212022_BenchMarkDataReport!$B$4:$CL$90,44,0),0)</f>
        <v>40951.29</v>
      </c>
      <c r="AA65" s="258">
        <f>IFERROR(VLOOKUP(A65,CFR20212022_BenchMarkDataReport!$B$4:$CL$90,45,0),0)</f>
        <v>0</v>
      </c>
      <c r="AB65" s="258">
        <f>IFERROR(VLOOKUP(A65,CFR20212022_BenchMarkDataReport!$B$4:$CL$90,46,0),0)</f>
        <v>19963.8</v>
      </c>
      <c r="AC65" s="258">
        <f>IFERROR(VLOOKUP(A65,CFR20212022_BenchMarkDataReport!$B$4:$CL$90,47,0),0)</f>
        <v>1061.0899999999999</v>
      </c>
      <c r="AD65" s="258">
        <f>IFERROR(VLOOKUP(A65,CFR20212022_BenchMarkDataReport!$B$4:$CL$90,48,0),0)</f>
        <v>2124.3000000000002</v>
      </c>
      <c r="AE65" s="258">
        <f>IFERROR(VLOOKUP(A65,CFR20212022_BenchMarkDataReport!$B$4:$CL$90,49,0),0)</f>
        <v>342.76</v>
      </c>
      <c r="AF65" s="258">
        <f>IFERROR(VLOOKUP(A65,CFR20212022_BenchMarkDataReport!$B$4:$CL$90,50,0),0)</f>
        <v>0</v>
      </c>
      <c r="AG65" s="258">
        <f>IFERROR(VLOOKUP(A65,CFR20212022_BenchMarkDataReport!$B$4:$CL$90,51,0),0)</f>
        <v>11911.26</v>
      </c>
      <c r="AH65" s="258">
        <f>IFERROR(VLOOKUP(A65,CFR20212022_BenchMarkDataReport!$B$4:$CL$90,52,0),0)</f>
        <v>6257.4</v>
      </c>
      <c r="AI65" s="258">
        <f>IFERROR(VLOOKUP(A65,CFR20212022_BenchMarkDataReport!$B$4:$CL$90,53,0),0)</f>
        <v>3990.16</v>
      </c>
      <c r="AJ65" s="258">
        <f>IFERROR(VLOOKUP(A65,CFR20212022_BenchMarkDataReport!$B$4:$CL$90,54,0),0)</f>
        <v>4803.1000000000004</v>
      </c>
      <c r="AK65" s="258">
        <f>IFERROR(VLOOKUP(A65,CFR20212022_BenchMarkDataReport!$B$4:$CL$90,55,0),0)</f>
        <v>33691.14</v>
      </c>
      <c r="AL65" s="258">
        <f>IFERROR(VLOOKUP(A65,CFR20212022_BenchMarkDataReport!$B$4:$CL$90,56,0),0)</f>
        <v>3845.89</v>
      </c>
      <c r="AM65" s="258">
        <f>IFERROR(VLOOKUP(A65,CFR20212022_BenchMarkDataReport!$B$4:$CL$90,57,0),0)</f>
        <v>7709.62</v>
      </c>
      <c r="AN65" s="258">
        <f>IFERROR(VLOOKUP(A65,CFR20212022_BenchMarkDataReport!$B$4:$CL$90,58,0),0)</f>
        <v>45046.42</v>
      </c>
      <c r="AO65" s="258">
        <f>IFERROR(VLOOKUP(A65,CFR20212022_BenchMarkDataReport!$B$4:$CL$90,59,0),0)</f>
        <v>13118.03</v>
      </c>
      <c r="AP65" s="258">
        <f>IFERROR(VLOOKUP(A65,CFR20212022_BenchMarkDataReport!$B$4:$CL$90,60,0),0)</f>
        <v>0</v>
      </c>
      <c r="AQ65" s="258">
        <f>IFERROR(VLOOKUP(A65,CFR20212022_BenchMarkDataReport!$B$4:$CL$90,61,0),0)</f>
        <v>7931.75</v>
      </c>
      <c r="AR65" s="258">
        <f>IFERROR(VLOOKUP(A65,CFR20212022_BenchMarkDataReport!$B$4:$CL$90,62,0),0)</f>
        <v>11288.64</v>
      </c>
      <c r="AS65" s="258">
        <f>IFERROR(VLOOKUP(A65,CFR20212022_BenchMarkDataReport!$B$4:$CL$90,63,0),0)</f>
        <v>10.95</v>
      </c>
      <c r="AT65" s="258">
        <f>IFERROR(VLOOKUP(A65,CFR20212022_BenchMarkDataReport!$B$4:$CL$90,64,0),0)</f>
        <v>63437.97</v>
      </c>
      <c r="AU65" s="258">
        <f>IFERROR(VLOOKUP(A65,CFR20212022_BenchMarkDataReport!$B$4:$CL$90,65,0),0)</f>
        <v>31654.28</v>
      </c>
      <c r="AV65" s="258">
        <f>IFERROR(VLOOKUP(A65,CFR20212022_BenchMarkDataReport!$B$4:$CL$90,66,0),0)</f>
        <v>40579.370000000003</v>
      </c>
      <c r="AW65" s="258">
        <f>IFERROR(VLOOKUP(A65,CFR20212022_BenchMarkDataReport!$B$4:$CL$90,67,0),0)</f>
        <v>34661.800000000003</v>
      </c>
      <c r="AX65" s="258">
        <f>IFERROR(VLOOKUP(A65,CFR20212022_BenchMarkDataReport!$B$4:$CL$90,68,0),0)</f>
        <v>0</v>
      </c>
      <c r="AY65" s="258">
        <f>IFERROR(VLOOKUP(A65,CFR20212022_BenchMarkDataReport!$B$4:$CL$90,69,0),0)</f>
        <v>0</v>
      </c>
      <c r="AZ65" s="258">
        <f>IFERROR(VLOOKUP(A65,CFR20212022_BenchMarkDataReport!$B$4:$CL$90,70,0),0)</f>
        <v>14191.8</v>
      </c>
      <c r="BA65" s="258">
        <f>IFERROR(VLOOKUP(A65,CFR20212022_BenchMarkDataReport!$B$4:$CL$90,71,0),0)</f>
        <v>0</v>
      </c>
      <c r="BB65" s="258">
        <f>IFERROR(VLOOKUP(A65,CFR20212022_BenchMarkDataReport!$B$4:$CL$90,72,0),0)</f>
        <v>0</v>
      </c>
      <c r="BC65" s="259">
        <f t="shared" si="84"/>
        <v>1311098.77</v>
      </c>
      <c r="BD65" s="260">
        <f t="shared" si="81"/>
        <v>1340596.51</v>
      </c>
      <c r="BE65" s="300">
        <f t="shared" si="82"/>
        <v>-29497.739999999991</v>
      </c>
      <c r="BF65" s="258">
        <f>IFERROR(VLOOKUP(A65,CFR20212022_BenchMarkDataReport!$B$4:$CL$90,16,0),0)</f>
        <v>95063.12</v>
      </c>
      <c r="BG65" s="300">
        <f t="shared" si="83"/>
        <v>65565.38</v>
      </c>
      <c r="BH65" s="261">
        <f>IFERROR(VLOOKUP(A65,'Pupil Nos BenchmarkData 21-22'!$A$6:$E$94,5,0),0)</f>
        <v>230.5</v>
      </c>
      <c r="BI65" s="260">
        <f t="shared" si="1"/>
        <v>1094401.6599999999</v>
      </c>
      <c r="BJ65" s="227" t="s">
        <v>183</v>
      </c>
      <c r="BK65" s="262">
        <f t="shared" si="85"/>
        <v>0.82439889711741543</v>
      </c>
      <c r="BL65" s="263">
        <f t="shared" si="86"/>
        <v>4689.233752711496</v>
      </c>
      <c r="BM65" s="264">
        <f t="shared" si="87"/>
        <v>0</v>
      </c>
      <c r="BN65" s="265">
        <f t="shared" si="88"/>
        <v>0</v>
      </c>
      <c r="BO65" s="262">
        <f t="shared" si="89"/>
        <v>1.0322090379201562E-2</v>
      </c>
      <c r="BP65" s="263">
        <f t="shared" si="90"/>
        <v>58.712711496746209</v>
      </c>
      <c r="BQ65" s="264">
        <f t="shared" si="91"/>
        <v>0</v>
      </c>
      <c r="BR65" s="265">
        <f t="shared" si="92"/>
        <v>0</v>
      </c>
      <c r="BS65" s="262">
        <f t="shared" si="93"/>
        <v>2.1279884199723563E-2</v>
      </c>
      <c r="BT65" s="263">
        <f t="shared" si="94"/>
        <v>121.04134490238611</v>
      </c>
      <c r="BU65" s="264">
        <f t="shared" si="95"/>
        <v>2.6504486767232648E-3</v>
      </c>
      <c r="BV65" s="265">
        <f t="shared" si="96"/>
        <v>15.07592190889371</v>
      </c>
      <c r="BW65" s="262">
        <f t="shared" si="97"/>
        <v>1.9067976091534277E-4</v>
      </c>
      <c r="BX65" s="263">
        <f t="shared" si="98"/>
        <v>1.0845986984815619</v>
      </c>
      <c r="BY65" s="264">
        <f t="shared" si="99"/>
        <v>5.9309177751726519E-2</v>
      </c>
      <c r="BZ65" s="266">
        <f t="shared" si="100"/>
        <v>337.35440347071585</v>
      </c>
      <c r="CA65" s="267">
        <f t="shared" si="101"/>
        <v>9.8099397957638231E-3</v>
      </c>
      <c r="CB65" s="268">
        <f t="shared" si="102"/>
        <v>55.799566160520605</v>
      </c>
      <c r="CC65" s="264">
        <f t="shared" si="103"/>
        <v>8.2864618963832907E-3</v>
      </c>
      <c r="CD65" s="265">
        <f t="shared" si="104"/>
        <v>47.133926247288507</v>
      </c>
      <c r="CE65" s="269">
        <f t="shared" si="105"/>
        <v>0.62948062414305916</v>
      </c>
      <c r="CF65" s="267">
        <f t="shared" si="106"/>
        <v>0.52544068819468115</v>
      </c>
      <c r="CG65" s="267">
        <f t="shared" si="107"/>
        <v>0.51387918352853235</v>
      </c>
      <c r="CH65" s="268">
        <f t="shared" si="108"/>
        <v>2988.7403036876358</v>
      </c>
      <c r="CI65" s="264">
        <f t="shared" si="109"/>
        <v>0.20268074154785184</v>
      </c>
      <c r="CJ65" s="270">
        <f t="shared" si="110"/>
        <v>0.16918186873136951</v>
      </c>
      <c r="CK65" s="270">
        <f t="shared" si="111"/>
        <v>0.16545928498650203</v>
      </c>
      <c r="CL65" s="271">
        <f t="shared" si="112"/>
        <v>962.31731019522783</v>
      </c>
      <c r="CM65" s="269">
        <f t="shared" si="113"/>
        <v>5.752841237466691E-2</v>
      </c>
      <c r="CN65" s="267">
        <f t="shared" si="114"/>
        <v>4.8020173186494562E-2</v>
      </c>
      <c r="CO65" s="267">
        <f t="shared" si="115"/>
        <v>4.696356400331074E-2</v>
      </c>
      <c r="CP65" s="268">
        <f t="shared" si="116"/>
        <v>273.14182212581346</v>
      </c>
      <c r="CQ65" s="264">
        <f t="shared" si="117"/>
        <v>3.7418885128518542E-2</v>
      </c>
      <c r="CR65" s="270">
        <f t="shared" si="118"/>
        <v>3.1234328745499473E-2</v>
      </c>
      <c r="CS65" s="270">
        <f t="shared" si="119"/>
        <v>3.0547065947531073E-2</v>
      </c>
      <c r="CT65" s="265">
        <f t="shared" si="120"/>
        <v>177.662863340564</v>
      </c>
      <c r="CU65" s="269">
        <f t="shared" si="121"/>
        <v>0.91642658875352956</v>
      </c>
      <c r="CV65" s="267">
        <f t="shared" si="122"/>
        <v>0.7649605071325023</v>
      </c>
      <c r="CW65" s="267">
        <f t="shared" si="123"/>
        <v>0.74812874158534104</v>
      </c>
      <c r="CX65" s="268">
        <f t="shared" si="124"/>
        <v>4351.1443817787422</v>
      </c>
      <c r="CY65" s="264">
        <f t="shared" si="125"/>
        <v>1.088381024568256E-2</v>
      </c>
      <c r="CZ65" s="270">
        <f t="shared" si="126"/>
        <v>8.8850447626482327E-3</v>
      </c>
      <c r="DA65" s="265">
        <f t="shared" si="127"/>
        <v>51.675748373101953</v>
      </c>
      <c r="DB65" s="269">
        <f t="shared" si="128"/>
        <v>3.582808073996851E-3</v>
      </c>
      <c r="DC65" s="268">
        <f t="shared" si="129"/>
        <v>20.837744034707161</v>
      </c>
      <c r="DD65" s="264">
        <f t="shared" si="130"/>
        <v>3.0784986199673712E-2</v>
      </c>
      <c r="DE65" s="270">
        <f t="shared" si="131"/>
        <v>2.5131454355345143E-2</v>
      </c>
      <c r="DF65" s="265">
        <f t="shared" si="132"/>
        <v>146.16546637744034</v>
      </c>
      <c r="DG65" s="269">
        <f t="shared" si="133"/>
        <v>7.0445982327914233E-3</v>
      </c>
      <c r="DH65" s="267">
        <f t="shared" si="134"/>
        <v>5.7508877149023757E-3</v>
      </c>
      <c r="DI65" s="272">
        <f t="shared" si="135"/>
        <v>33.447375271149674</v>
      </c>
      <c r="DJ65" s="264">
        <f t="shared" si="136"/>
        <v>4.1160774555111697E-2</v>
      </c>
      <c r="DK65" s="270">
        <f t="shared" si="137"/>
        <v>3.4357762382768463E-2</v>
      </c>
      <c r="DL65" s="270">
        <f t="shared" si="138"/>
        <v>3.3601773288220775E-2</v>
      </c>
      <c r="DM65" s="265">
        <f t="shared" si="139"/>
        <v>195.42915401301516</v>
      </c>
      <c r="DN65" s="269">
        <f t="shared" si="140"/>
        <v>7.2475675886675833E-3</v>
      </c>
      <c r="DO65" s="267">
        <f t="shared" si="141"/>
        <v>5.9165826114227311E-3</v>
      </c>
      <c r="DP65" s="268">
        <f t="shared" si="142"/>
        <v>34.41106290672451</v>
      </c>
      <c r="DQ65" s="264">
        <f t="shared" si="143"/>
        <v>3.7079046462703651E-2</v>
      </c>
      <c r="DR65" s="270">
        <f t="shared" si="144"/>
        <v>3.0269637207991838E-2</v>
      </c>
      <c r="DS65" s="265">
        <f t="shared" si="145"/>
        <v>176.04932754880696</v>
      </c>
      <c r="DT65" s="269">
        <f t="shared" si="146"/>
        <v>4.7320703527715433E-2</v>
      </c>
      <c r="DU65" s="268">
        <f t="shared" si="147"/>
        <v>275.21895878524947</v>
      </c>
      <c r="DV65" s="264">
        <f t="shared" si="2"/>
        <v>2.976406375994519E-3</v>
      </c>
      <c r="DW65" s="265">
        <f t="shared" si="3"/>
        <v>17.310889370932752</v>
      </c>
      <c r="DX65" s="264">
        <f t="shared" si="148"/>
        <v>1.7361084777594364E-5</v>
      </c>
      <c r="DY65" s="270">
        <f t="shared" si="149"/>
        <v>1.4491661829566051E-5</v>
      </c>
      <c r="DZ65" s="270">
        <f t="shared" si="150"/>
        <v>1.4172795362565877E-5</v>
      </c>
      <c r="EA65" s="265">
        <f t="shared" si="151"/>
        <v>8.2429501084598705E-2</v>
      </c>
      <c r="EB65" s="273">
        <f>IFERROR(VLOOKUP(A65,'BARNET SCHS PUPIL PREMIUM Nos'!$E$31:$V$117,17,0),0)</f>
        <v>19</v>
      </c>
      <c r="EC65" s="258">
        <f>IFERROR(VLOOKUP(A65,CFR20212022_BenchMarkDataReport!$B$4:$CL$90,36,0),0)</f>
        <v>0</v>
      </c>
      <c r="ED65" s="258">
        <f>IFERROR(VLOOKUP(A65,CFR20212022_BenchMarkDataReport!$B$4:$CL$90,37,0),0)</f>
        <v>0</v>
      </c>
      <c r="EE65" s="258">
        <f>IFERROR(VLOOKUP(A65,CFR20212022_BenchMarkDataReport!$B$4:$CL$90,38,0),0)</f>
        <v>9709.3799999999992</v>
      </c>
      <c r="EF65" s="258">
        <f>IFERROR(VLOOKUP(A65,CFR20212022_BenchMarkDataReport!$B$4:$CL$90,39,0),0)</f>
        <v>51022.67</v>
      </c>
      <c r="EG65" s="227"/>
    </row>
    <row r="66" spans="1:137" s="5" customFormat="1">
      <c r="A66" s="147">
        <v>3309</v>
      </c>
      <c r="B66" s="298">
        <v>10116</v>
      </c>
      <c r="C66" s="147" t="s">
        <v>91</v>
      </c>
      <c r="D66" s="258">
        <f>IFERROR(VLOOKUP(A66,CFR20212022_BenchMarkDataReport!$B$4:$CL$90,19,0),0)</f>
        <v>1066409.82</v>
      </c>
      <c r="E66" s="258">
        <f>IFERROR(VLOOKUP(A66,CFR20212022_BenchMarkDataReport!$B$4:$CL$90,20,0),0)</f>
        <v>0</v>
      </c>
      <c r="F66" s="258">
        <f>IFERROR(VLOOKUP(A66,CFR20212022_BenchMarkDataReport!$B$4:$CL$90,21,0),0)</f>
        <v>50403.09</v>
      </c>
      <c r="G66" s="258">
        <f>IFERROR(VLOOKUP(A66,CFR20212022_BenchMarkDataReport!$B$4:$CL$90,22,0),0)</f>
        <v>0</v>
      </c>
      <c r="H66" s="258">
        <f>IFERROR(VLOOKUP(A66,CFR20212022_BenchMarkDataReport!$B$4:$CL$90,23,0),0)</f>
        <v>42164.06</v>
      </c>
      <c r="I66" s="258">
        <f>IFERROR(VLOOKUP(A66,CFR20212022_BenchMarkDataReport!$B$4:$CL$90,24,0),0)</f>
        <v>0</v>
      </c>
      <c r="J66" s="258">
        <f>IFERROR(VLOOKUP(A66,CFR20212022_BenchMarkDataReport!$B$4:$CL$90,25,0),0)</f>
        <v>650</v>
      </c>
      <c r="K66" s="258">
        <f>IFERROR(VLOOKUP(A66,CFR20212022_BenchMarkDataReport!$B$4:$CL$90,26,0),0)</f>
        <v>9787.5</v>
      </c>
      <c r="L66" s="258">
        <f>IFERROR(VLOOKUP(A66,CFR20212022_BenchMarkDataReport!$B$4:$CL$90,27,0),0)</f>
        <v>87376.72</v>
      </c>
      <c r="M66" s="258">
        <f>IFERROR(VLOOKUP(A66,CFR20212022_BenchMarkDataReport!$B$4:$CL$90,28,0),0)</f>
        <v>25370.44</v>
      </c>
      <c r="N66" s="258">
        <f>IFERROR(VLOOKUP(A66,CFR20212022_BenchMarkDataReport!$B$4:$CL$90,29,0),0)</f>
        <v>0</v>
      </c>
      <c r="O66" s="258">
        <f>IFERROR(VLOOKUP(A66,CFR20212022_BenchMarkDataReport!$B$4:$CL$90,30,0),0)</f>
        <v>475</v>
      </c>
      <c r="P66" s="258">
        <f>IFERROR(VLOOKUP(A66,CFR20212022_BenchMarkDataReport!$B$4:$CL$90,31,0),0)</f>
        <v>27082.7</v>
      </c>
      <c r="Q66" s="258">
        <f>IFERROR(VLOOKUP(A66,CFR20212022_BenchMarkDataReport!$B$4:$CL$90,32,0),0)</f>
        <v>12658.11</v>
      </c>
      <c r="R66" s="258">
        <f>IFERROR(VLOOKUP(A66,CFR20212022_BenchMarkDataReport!$B$4:$CL$90,33,0),0)</f>
        <v>0</v>
      </c>
      <c r="S66" s="258">
        <f>IFERROR(VLOOKUP(A66,CFR20212022_BenchMarkDataReport!$B$4:$CL$90,34,0),0)</f>
        <v>0</v>
      </c>
      <c r="T66" s="258">
        <f>IFERROR(VLOOKUP(A66,CFR20212022_BenchMarkDataReport!$B$4:$CL$90,35,0),0)</f>
        <v>0</v>
      </c>
      <c r="U66" s="258">
        <f t="shared" si="0"/>
        <v>62215.450000000004</v>
      </c>
      <c r="V66" s="258">
        <f>IFERROR(VLOOKUP(A66,CFR20212022_BenchMarkDataReport!$B$4:$CL$90,40,0),0)</f>
        <v>628340.66</v>
      </c>
      <c r="W66" s="258">
        <f>IFERROR(VLOOKUP(A66,CFR20212022_BenchMarkDataReport!$B$4:$CL$90,41,0),0)</f>
        <v>0</v>
      </c>
      <c r="X66" s="258">
        <f>IFERROR(VLOOKUP(A66,CFR20212022_BenchMarkDataReport!$B$4:$CL$90,42,0),0)</f>
        <v>227446.38</v>
      </c>
      <c r="Y66" s="258">
        <f>IFERROR(VLOOKUP(A66,CFR20212022_BenchMarkDataReport!$B$4:$CL$90,43,0),0)</f>
        <v>22764.65</v>
      </c>
      <c r="Z66" s="258">
        <f>IFERROR(VLOOKUP(A66,CFR20212022_BenchMarkDataReport!$B$4:$CL$90,44,0),0)</f>
        <v>48075.23</v>
      </c>
      <c r="AA66" s="258">
        <f>IFERROR(VLOOKUP(A66,CFR20212022_BenchMarkDataReport!$B$4:$CL$90,45,0),0)</f>
        <v>0</v>
      </c>
      <c r="AB66" s="258">
        <f>IFERROR(VLOOKUP(A66,CFR20212022_BenchMarkDataReport!$B$4:$CL$90,46,0),0)</f>
        <v>46202.93</v>
      </c>
      <c r="AC66" s="258">
        <f>IFERROR(VLOOKUP(A66,CFR20212022_BenchMarkDataReport!$B$4:$CL$90,47,0),0)</f>
        <v>4567.96</v>
      </c>
      <c r="AD66" s="258">
        <f>IFERROR(VLOOKUP(A66,CFR20212022_BenchMarkDataReport!$B$4:$CL$90,48,0),0)</f>
        <v>5714.68</v>
      </c>
      <c r="AE66" s="258">
        <f>IFERROR(VLOOKUP(A66,CFR20212022_BenchMarkDataReport!$B$4:$CL$90,49,0),0)</f>
        <v>346.04</v>
      </c>
      <c r="AF66" s="258">
        <f>IFERROR(VLOOKUP(A66,CFR20212022_BenchMarkDataReport!$B$4:$CL$90,50,0),0)</f>
        <v>0</v>
      </c>
      <c r="AG66" s="258">
        <f>IFERROR(VLOOKUP(A66,CFR20212022_BenchMarkDataReport!$B$4:$CL$90,51,0),0)</f>
        <v>21416.42</v>
      </c>
      <c r="AH66" s="258">
        <f>IFERROR(VLOOKUP(A66,CFR20212022_BenchMarkDataReport!$B$4:$CL$90,52,0),0)</f>
        <v>7084.25</v>
      </c>
      <c r="AI66" s="258">
        <f>IFERROR(VLOOKUP(A66,CFR20212022_BenchMarkDataReport!$B$4:$CL$90,53,0),0)</f>
        <v>20692.14</v>
      </c>
      <c r="AJ66" s="258">
        <f>IFERROR(VLOOKUP(A66,CFR20212022_BenchMarkDataReport!$B$4:$CL$90,54,0),0)</f>
        <v>3314.83</v>
      </c>
      <c r="AK66" s="258">
        <f>IFERROR(VLOOKUP(A66,CFR20212022_BenchMarkDataReport!$B$4:$CL$90,55,0),0)</f>
        <v>19716.849999999999</v>
      </c>
      <c r="AL66" s="258">
        <f>IFERROR(VLOOKUP(A66,CFR20212022_BenchMarkDataReport!$B$4:$CL$90,56,0),0)</f>
        <v>4582.3999999999996</v>
      </c>
      <c r="AM66" s="258">
        <f>IFERROR(VLOOKUP(A66,CFR20212022_BenchMarkDataReport!$B$4:$CL$90,57,0),0)</f>
        <v>6858.16</v>
      </c>
      <c r="AN66" s="258">
        <f>IFERROR(VLOOKUP(A66,CFR20212022_BenchMarkDataReport!$B$4:$CL$90,58,0),0)</f>
        <v>59790.71</v>
      </c>
      <c r="AO66" s="258">
        <f>IFERROR(VLOOKUP(A66,CFR20212022_BenchMarkDataReport!$B$4:$CL$90,59,0),0)</f>
        <v>13882.26</v>
      </c>
      <c r="AP66" s="258">
        <f>IFERROR(VLOOKUP(A66,CFR20212022_BenchMarkDataReport!$B$4:$CL$90,60,0),0)</f>
        <v>0</v>
      </c>
      <c r="AQ66" s="258">
        <f>IFERROR(VLOOKUP(A66,CFR20212022_BenchMarkDataReport!$B$4:$CL$90,61,0),0)</f>
        <v>9199.02</v>
      </c>
      <c r="AR66" s="258">
        <f>IFERROR(VLOOKUP(A66,CFR20212022_BenchMarkDataReport!$B$4:$CL$90,62,0),0)</f>
        <v>3524.79</v>
      </c>
      <c r="AS66" s="258">
        <f>IFERROR(VLOOKUP(A66,CFR20212022_BenchMarkDataReport!$B$4:$CL$90,63,0),0)</f>
        <v>5531.44</v>
      </c>
      <c r="AT66" s="258">
        <f>IFERROR(VLOOKUP(A66,CFR20212022_BenchMarkDataReport!$B$4:$CL$90,64,0),0)</f>
        <v>61906.73</v>
      </c>
      <c r="AU66" s="258">
        <f>IFERROR(VLOOKUP(A66,CFR20212022_BenchMarkDataReport!$B$4:$CL$90,65,0),0)</f>
        <v>13967.61</v>
      </c>
      <c r="AV66" s="258">
        <f>IFERROR(VLOOKUP(A66,CFR20212022_BenchMarkDataReport!$B$4:$CL$90,66,0),0)</f>
        <v>26893.5</v>
      </c>
      <c r="AW66" s="258">
        <f>IFERROR(VLOOKUP(A66,CFR20212022_BenchMarkDataReport!$B$4:$CL$90,67,0),0)</f>
        <v>34957.300000000003</v>
      </c>
      <c r="AX66" s="258">
        <f>IFERROR(VLOOKUP(A66,CFR20212022_BenchMarkDataReport!$B$4:$CL$90,68,0),0)</f>
        <v>0</v>
      </c>
      <c r="AY66" s="258">
        <f>IFERROR(VLOOKUP(A66,CFR20212022_BenchMarkDataReport!$B$4:$CL$90,69,0),0)</f>
        <v>0</v>
      </c>
      <c r="AZ66" s="258">
        <f>IFERROR(VLOOKUP(A66,CFR20212022_BenchMarkDataReport!$B$4:$CL$90,70,0),0)</f>
        <v>0</v>
      </c>
      <c r="BA66" s="258">
        <f>IFERROR(VLOOKUP(A66,CFR20212022_BenchMarkDataReport!$B$4:$CL$90,71,0),0)</f>
        <v>0</v>
      </c>
      <c r="BB66" s="258">
        <f>IFERROR(VLOOKUP(A66,CFR20212022_BenchMarkDataReport!$B$4:$CL$90,72,0),0)</f>
        <v>0</v>
      </c>
      <c r="BC66" s="259">
        <f t="shared" si="84"/>
        <v>1384592.8900000001</v>
      </c>
      <c r="BD66" s="260">
        <f t="shared" si="81"/>
        <v>1296776.9400000002</v>
      </c>
      <c r="BE66" s="300">
        <f t="shared" si="82"/>
        <v>87815.949999999953</v>
      </c>
      <c r="BF66" s="258">
        <f>IFERROR(VLOOKUP(A66,CFR20212022_BenchMarkDataReport!$B$4:$CL$90,16,0),0)</f>
        <v>49494.51</v>
      </c>
      <c r="BG66" s="300">
        <f t="shared" si="83"/>
        <v>137310.45999999996</v>
      </c>
      <c r="BH66" s="261">
        <f>IFERROR(VLOOKUP(A66,'Pupil Nos BenchmarkData 21-22'!$A$6:$E$94,5,0),0)</f>
        <v>232.5</v>
      </c>
      <c r="BI66" s="260">
        <f t="shared" si="1"/>
        <v>1116812.9100000001</v>
      </c>
      <c r="BJ66" s="227" t="s">
        <v>183</v>
      </c>
      <c r="BK66" s="262">
        <f t="shared" si="85"/>
        <v>0.77019738271225702</v>
      </c>
      <c r="BL66" s="263">
        <f t="shared" si="86"/>
        <v>4586.7089032258064</v>
      </c>
      <c r="BM66" s="264">
        <f t="shared" si="87"/>
        <v>0</v>
      </c>
      <c r="BN66" s="265">
        <f t="shared" si="88"/>
        <v>0</v>
      </c>
      <c r="BO66" s="262">
        <f t="shared" si="89"/>
        <v>3.6402823070975032E-2</v>
      </c>
      <c r="BP66" s="263">
        <f t="shared" si="90"/>
        <v>216.78748387096772</v>
      </c>
      <c r="BQ66" s="264">
        <f t="shared" si="91"/>
        <v>0</v>
      </c>
      <c r="BR66" s="265">
        <f t="shared" si="92"/>
        <v>0</v>
      </c>
      <c r="BS66" s="262">
        <f t="shared" si="93"/>
        <v>3.0452315842817879E-2</v>
      </c>
      <c r="BT66" s="263">
        <f t="shared" si="94"/>
        <v>181.35079569892471</v>
      </c>
      <c r="BU66" s="264">
        <f t="shared" si="95"/>
        <v>0</v>
      </c>
      <c r="BV66" s="265">
        <f t="shared" si="96"/>
        <v>0</v>
      </c>
      <c r="BW66" s="262">
        <f t="shared" si="97"/>
        <v>4.694520712149547E-4</v>
      </c>
      <c r="BX66" s="263">
        <f t="shared" si="98"/>
        <v>2.795698924731183</v>
      </c>
      <c r="BY66" s="264">
        <f t="shared" si="99"/>
        <v>7.0175298964593111E-2</v>
      </c>
      <c r="BZ66" s="266">
        <f t="shared" si="100"/>
        <v>417.91062365591398</v>
      </c>
      <c r="CA66" s="267">
        <f t="shared" si="101"/>
        <v>1.9560045552451159E-2</v>
      </c>
      <c r="CB66" s="268">
        <f t="shared" si="102"/>
        <v>116.4847311827957</v>
      </c>
      <c r="CC66" s="264">
        <f t="shared" si="103"/>
        <v>9.1421168571795847E-3</v>
      </c>
      <c r="CD66" s="265">
        <f t="shared" si="104"/>
        <v>54.443483870967746</v>
      </c>
      <c r="CE66" s="269">
        <f t="shared" si="105"/>
        <v>0.57512611490137588</v>
      </c>
      <c r="CF66" s="267">
        <f t="shared" si="106"/>
        <v>0.46389684263076053</v>
      </c>
      <c r="CG66" s="267">
        <f t="shared" si="107"/>
        <v>0.4953112984874638</v>
      </c>
      <c r="CH66" s="268">
        <f t="shared" si="108"/>
        <v>2762.6162150537634</v>
      </c>
      <c r="CI66" s="264">
        <f t="shared" si="109"/>
        <v>0.20365665364667029</v>
      </c>
      <c r="CJ66" s="270">
        <f t="shared" si="110"/>
        <v>0.16426949874052868</v>
      </c>
      <c r="CK66" s="270">
        <f t="shared" si="111"/>
        <v>0.17539360315892105</v>
      </c>
      <c r="CL66" s="271">
        <f t="shared" si="112"/>
        <v>978.26400000000001</v>
      </c>
      <c r="CM66" s="269">
        <f t="shared" si="113"/>
        <v>2.0383584211969754E-2</v>
      </c>
      <c r="CN66" s="267">
        <f t="shared" si="114"/>
        <v>1.6441403219974646E-2</v>
      </c>
      <c r="CO66" s="267">
        <f t="shared" si="115"/>
        <v>1.7554792422511768E-2</v>
      </c>
      <c r="CP66" s="268">
        <f t="shared" si="116"/>
        <v>97.912473118279578</v>
      </c>
      <c r="CQ66" s="264">
        <f t="shared" si="117"/>
        <v>4.3046807186353168E-2</v>
      </c>
      <c r="CR66" s="270">
        <f t="shared" si="118"/>
        <v>3.4721563534823585E-2</v>
      </c>
      <c r="CS66" s="270">
        <f t="shared" si="119"/>
        <v>3.7072860040216322E-2</v>
      </c>
      <c r="CT66" s="265">
        <f t="shared" si="120"/>
        <v>206.77518279569892</v>
      </c>
      <c r="CU66" s="269">
        <f t="shared" si="121"/>
        <v>0.87107683058570662</v>
      </c>
      <c r="CV66" s="267">
        <f t="shared" si="122"/>
        <v>0.70261075080343649</v>
      </c>
      <c r="CW66" s="267">
        <f t="shared" si="123"/>
        <v>0.75019058404909633</v>
      </c>
      <c r="CX66" s="268">
        <f t="shared" si="124"/>
        <v>4184.2144086021508</v>
      </c>
      <c r="CY66" s="264">
        <f t="shared" si="125"/>
        <v>1.9176372164250857E-2</v>
      </c>
      <c r="CZ66" s="270">
        <f t="shared" si="126"/>
        <v>1.6515114773709653E-2</v>
      </c>
      <c r="DA66" s="265">
        <f t="shared" si="127"/>
        <v>92.113634408602138</v>
      </c>
      <c r="DB66" s="269">
        <f t="shared" si="128"/>
        <v>2.5562067752376901E-3</v>
      </c>
      <c r="DC66" s="268">
        <f t="shared" si="129"/>
        <v>14.257333333333333</v>
      </c>
      <c r="DD66" s="264">
        <f t="shared" si="130"/>
        <v>1.7654568480946372E-2</v>
      </c>
      <c r="DE66" s="270">
        <f t="shared" si="131"/>
        <v>1.5204503867874143E-2</v>
      </c>
      <c r="DF66" s="265">
        <f t="shared" si="132"/>
        <v>84.803655913978488</v>
      </c>
      <c r="DG66" s="269">
        <f t="shared" si="133"/>
        <v>6.1408315919270658E-3</v>
      </c>
      <c r="DH66" s="267">
        <f t="shared" si="134"/>
        <v>5.2886196449483435E-3</v>
      </c>
      <c r="DI66" s="272">
        <f t="shared" si="135"/>
        <v>29.497462365591396</v>
      </c>
      <c r="DJ66" s="264">
        <f t="shared" si="136"/>
        <v>5.3536907985778918E-2</v>
      </c>
      <c r="DK66" s="270">
        <f t="shared" si="137"/>
        <v>4.3182880998327233E-2</v>
      </c>
      <c r="DL66" s="270">
        <f t="shared" si="138"/>
        <v>4.6107166279499075E-2</v>
      </c>
      <c r="DM66" s="265">
        <f t="shared" si="139"/>
        <v>257.16434408602152</v>
      </c>
      <c r="DN66" s="269">
        <f t="shared" si="140"/>
        <v>8.2368496259592836E-3</v>
      </c>
      <c r="DO66" s="267">
        <f t="shared" si="141"/>
        <v>7.0937566178497892E-3</v>
      </c>
      <c r="DP66" s="268">
        <f t="shared" si="142"/>
        <v>39.565677419354842</v>
      </c>
      <c r="DQ66" s="264">
        <f t="shared" si="143"/>
        <v>2.4080577650199258E-2</v>
      </c>
      <c r="DR66" s="270">
        <f t="shared" si="144"/>
        <v>2.0738724733954626E-2</v>
      </c>
      <c r="DS66" s="265">
        <f t="shared" si="145"/>
        <v>115.67096774193548</v>
      </c>
      <c r="DT66" s="269">
        <f t="shared" si="146"/>
        <v>4.7738919540009708E-2</v>
      </c>
      <c r="DU66" s="268">
        <f t="shared" si="147"/>
        <v>266.26550537634409</v>
      </c>
      <c r="DV66" s="264">
        <f t="shared" si="2"/>
        <v>1.5956591578502311E-2</v>
      </c>
      <c r="DW66" s="265">
        <f t="shared" si="3"/>
        <v>88.998451612903224</v>
      </c>
      <c r="DX66" s="264">
        <f t="shared" si="148"/>
        <v>1.7012697319195566E-5</v>
      </c>
      <c r="DY66" s="270">
        <f t="shared" si="149"/>
        <v>1.3722445158590984E-5</v>
      </c>
      <c r="DZ66" s="270">
        <f t="shared" si="150"/>
        <v>1.4651710262522093E-5</v>
      </c>
      <c r="EA66" s="265">
        <f t="shared" si="151"/>
        <v>8.1720430107526887E-2</v>
      </c>
      <c r="EB66" s="273">
        <f>IFERROR(VLOOKUP(A66,'BARNET SCHS PUPIL PREMIUM Nos'!$E$31:$V$117,17,0),0)</f>
        <v>19</v>
      </c>
      <c r="EC66" s="258">
        <f>IFERROR(VLOOKUP(A66,CFR20212022_BenchMarkDataReport!$B$4:$CL$90,36,0),0)</f>
        <v>0</v>
      </c>
      <c r="ED66" s="258">
        <f>IFERROR(VLOOKUP(A66,CFR20212022_BenchMarkDataReport!$B$4:$CL$90,37,0),0)</f>
        <v>0</v>
      </c>
      <c r="EE66" s="258">
        <f>IFERROR(VLOOKUP(A66,CFR20212022_BenchMarkDataReport!$B$4:$CL$90,38,0),0)</f>
        <v>10233.120000000001</v>
      </c>
      <c r="EF66" s="258">
        <f>IFERROR(VLOOKUP(A66,CFR20212022_BenchMarkDataReport!$B$4:$CL$90,39,0),0)</f>
        <v>51982.33</v>
      </c>
      <c r="EG66" s="227"/>
    </row>
    <row r="67" spans="1:137" s="5" customFormat="1">
      <c r="A67" s="147">
        <v>3509</v>
      </c>
      <c r="B67" s="298">
        <v>10107</v>
      </c>
      <c r="C67" s="301" t="s">
        <v>337</v>
      </c>
      <c r="D67" s="258">
        <f>IFERROR(VLOOKUP(A67,CFR20212022_BenchMarkDataReport!$B$4:$CL$90,19,0),0)</f>
        <v>2305083.38</v>
      </c>
      <c r="E67" s="258">
        <f>IFERROR(VLOOKUP(A67,CFR20212022_BenchMarkDataReport!$B$4:$CL$90,20,0),0)</f>
        <v>0</v>
      </c>
      <c r="F67" s="258">
        <f>IFERROR(VLOOKUP(A67,CFR20212022_BenchMarkDataReport!$B$4:$CL$90,21,0),0)</f>
        <v>102435.7</v>
      </c>
      <c r="G67" s="258">
        <f>IFERROR(VLOOKUP(A67,CFR20212022_BenchMarkDataReport!$B$4:$CL$90,22,0),0)</f>
        <v>0</v>
      </c>
      <c r="H67" s="258">
        <f>IFERROR(VLOOKUP(A67,CFR20212022_BenchMarkDataReport!$B$4:$CL$90,23,0),0)</f>
        <v>123739.95</v>
      </c>
      <c r="I67" s="258">
        <f>IFERROR(VLOOKUP(A67,CFR20212022_BenchMarkDataReport!$B$4:$CL$90,24,0),0)</f>
        <v>0</v>
      </c>
      <c r="J67" s="258">
        <f>IFERROR(VLOOKUP(A67,CFR20212022_BenchMarkDataReport!$B$4:$CL$90,25,0),0)</f>
        <v>1.06</v>
      </c>
      <c r="K67" s="258">
        <f>IFERROR(VLOOKUP(A67,CFR20212022_BenchMarkDataReport!$B$4:$CL$90,26,0),0)</f>
        <v>0</v>
      </c>
      <c r="L67" s="258">
        <f>IFERROR(VLOOKUP(A67,CFR20212022_BenchMarkDataReport!$B$4:$CL$90,27,0),0)</f>
        <v>47556.24</v>
      </c>
      <c r="M67" s="258">
        <f>IFERROR(VLOOKUP(A67,CFR20212022_BenchMarkDataReport!$B$4:$CL$90,28,0),0)</f>
        <v>49525.43</v>
      </c>
      <c r="N67" s="258">
        <f>IFERROR(VLOOKUP(A67,CFR20212022_BenchMarkDataReport!$B$4:$CL$90,29,0),0)</f>
        <v>7560</v>
      </c>
      <c r="O67" s="258">
        <f>IFERROR(VLOOKUP(A67,CFR20212022_BenchMarkDataReport!$B$4:$CL$90,30,0),0)</f>
        <v>0</v>
      </c>
      <c r="P67" s="258">
        <f>IFERROR(VLOOKUP(A67,CFR20212022_BenchMarkDataReport!$B$4:$CL$90,31,0),0)</f>
        <v>9007.59</v>
      </c>
      <c r="Q67" s="258">
        <f>IFERROR(VLOOKUP(A67,CFR20212022_BenchMarkDataReport!$B$4:$CL$90,32,0),0)</f>
        <v>3415.04</v>
      </c>
      <c r="R67" s="258">
        <f>IFERROR(VLOOKUP(A67,CFR20212022_BenchMarkDataReport!$B$4:$CL$90,33,0),0)</f>
        <v>0</v>
      </c>
      <c r="S67" s="258">
        <f>IFERROR(VLOOKUP(A67,CFR20212022_BenchMarkDataReport!$B$4:$CL$90,34,0),0)</f>
        <v>0</v>
      </c>
      <c r="T67" s="258">
        <f>IFERROR(VLOOKUP(A67,CFR20212022_BenchMarkDataReport!$B$4:$CL$90,35,0),0)</f>
        <v>0</v>
      </c>
      <c r="U67" s="258">
        <f t="shared" si="0"/>
        <v>101462.5</v>
      </c>
      <c r="V67" s="258">
        <f>IFERROR(VLOOKUP(A67,CFR20212022_BenchMarkDataReport!$B$4:$CL$90,40,0),0)</f>
        <v>1275967.72</v>
      </c>
      <c r="W67" s="258">
        <f>IFERROR(VLOOKUP(A67,CFR20212022_BenchMarkDataReport!$B$4:$CL$90,41,0),0)</f>
        <v>0</v>
      </c>
      <c r="X67" s="258">
        <f>IFERROR(VLOOKUP(A67,CFR20212022_BenchMarkDataReport!$B$4:$CL$90,42,0),0)</f>
        <v>492938.95</v>
      </c>
      <c r="Y67" s="258">
        <f>IFERROR(VLOOKUP(A67,CFR20212022_BenchMarkDataReport!$B$4:$CL$90,43,0),0)</f>
        <v>125795.45</v>
      </c>
      <c r="Z67" s="258">
        <f>IFERROR(VLOOKUP(A67,CFR20212022_BenchMarkDataReport!$B$4:$CL$90,44,0),0)</f>
        <v>125649.31</v>
      </c>
      <c r="AA67" s="258">
        <f>IFERROR(VLOOKUP(A67,CFR20212022_BenchMarkDataReport!$B$4:$CL$90,45,0),0)</f>
        <v>0</v>
      </c>
      <c r="AB67" s="258">
        <f>IFERROR(VLOOKUP(A67,CFR20212022_BenchMarkDataReport!$B$4:$CL$90,46,0),0)</f>
        <v>87312.56</v>
      </c>
      <c r="AC67" s="258">
        <f>IFERROR(VLOOKUP(A67,CFR20212022_BenchMarkDataReport!$B$4:$CL$90,47,0),0)</f>
        <v>6264.27</v>
      </c>
      <c r="AD67" s="258">
        <f>IFERROR(VLOOKUP(A67,CFR20212022_BenchMarkDataReport!$B$4:$CL$90,48,0),0)</f>
        <v>502.5</v>
      </c>
      <c r="AE67" s="258">
        <f>IFERROR(VLOOKUP(A67,CFR20212022_BenchMarkDataReport!$B$4:$CL$90,49,0),0)</f>
        <v>10911.1</v>
      </c>
      <c r="AF67" s="258">
        <f>IFERROR(VLOOKUP(A67,CFR20212022_BenchMarkDataReport!$B$4:$CL$90,50,0),0)</f>
        <v>0</v>
      </c>
      <c r="AG67" s="258">
        <f>IFERROR(VLOOKUP(A67,CFR20212022_BenchMarkDataReport!$B$4:$CL$90,51,0),0)</f>
        <v>30068.13</v>
      </c>
      <c r="AH67" s="258">
        <f>IFERROR(VLOOKUP(A67,CFR20212022_BenchMarkDataReport!$B$4:$CL$90,52,0),0)</f>
        <v>0</v>
      </c>
      <c r="AI67" s="258">
        <f>IFERROR(VLOOKUP(A67,CFR20212022_BenchMarkDataReport!$B$4:$CL$90,53,0),0)</f>
        <v>2226.56</v>
      </c>
      <c r="AJ67" s="258">
        <f>IFERROR(VLOOKUP(A67,CFR20212022_BenchMarkDataReport!$B$4:$CL$90,54,0),0)</f>
        <v>7136.42</v>
      </c>
      <c r="AK67" s="258">
        <f>IFERROR(VLOOKUP(A67,CFR20212022_BenchMarkDataReport!$B$4:$CL$90,55,0),0)</f>
        <v>59822</v>
      </c>
      <c r="AL67" s="258">
        <f>IFERROR(VLOOKUP(A67,CFR20212022_BenchMarkDataReport!$B$4:$CL$90,56,0),0)</f>
        <v>12781.19</v>
      </c>
      <c r="AM67" s="258">
        <f>IFERROR(VLOOKUP(A67,CFR20212022_BenchMarkDataReport!$B$4:$CL$90,57,0),0)</f>
        <v>16396.57</v>
      </c>
      <c r="AN67" s="258">
        <f>IFERROR(VLOOKUP(A67,CFR20212022_BenchMarkDataReport!$B$4:$CL$90,58,0),0)</f>
        <v>61427.5</v>
      </c>
      <c r="AO67" s="258">
        <f>IFERROR(VLOOKUP(A67,CFR20212022_BenchMarkDataReport!$B$4:$CL$90,59,0),0)</f>
        <v>20070.759999999998</v>
      </c>
      <c r="AP67" s="258">
        <f>IFERROR(VLOOKUP(A67,CFR20212022_BenchMarkDataReport!$B$4:$CL$90,60,0),0)</f>
        <v>0</v>
      </c>
      <c r="AQ67" s="258">
        <f>IFERROR(VLOOKUP(A67,CFR20212022_BenchMarkDataReport!$B$4:$CL$90,61,0),0)</f>
        <v>19536.09</v>
      </c>
      <c r="AR67" s="258">
        <f>IFERROR(VLOOKUP(A67,CFR20212022_BenchMarkDataReport!$B$4:$CL$90,62,0),0)</f>
        <v>17269.599999999999</v>
      </c>
      <c r="AS67" s="258">
        <f>IFERROR(VLOOKUP(A67,CFR20212022_BenchMarkDataReport!$B$4:$CL$90,63,0),0)</f>
        <v>14765.19</v>
      </c>
      <c r="AT67" s="258">
        <f>IFERROR(VLOOKUP(A67,CFR20212022_BenchMarkDataReport!$B$4:$CL$90,64,0),0)</f>
        <v>135369.32999999999</v>
      </c>
      <c r="AU67" s="258">
        <f>IFERROR(VLOOKUP(A67,CFR20212022_BenchMarkDataReport!$B$4:$CL$90,65,0),0)</f>
        <v>120869</v>
      </c>
      <c r="AV67" s="258">
        <f>IFERROR(VLOOKUP(A67,CFR20212022_BenchMarkDataReport!$B$4:$CL$90,66,0),0)</f>
        <v>179716.42</v>
      </c>
      <c r="AW67" s="258">
        <f>IFERROR(VLOOKUP(A67,CFR20212022_BenchMarkDataReport!$B$4:$CL$90,67,0),0)</f>
        <v>36445.040000000001</v>
      </c>
      <c r="AX67" s="258">
        <f>IFERROR(VLOOKUP(A67,CFR20212022_BenchMarkDataReport!$B$4:$CL$90,68,0),0)</f>
        <v>0</v>
      </c>
      <c r="AY67" s="258">
        <f>IFERROR(VLOOKUP(A67,CFR20212022_BenchMarkDataReport!$B$4:$CL$90,69,0),0)</f>
        <v>0</v>
      </c>
      <c r="AZ67" s="258">
        <f>IFERROR(VLOOKUP(A67,CFR20212022_BenchMarkDataReport!$B$4:$CL$90,70,0),0)</f>
        <v>0</v>
      </c>
      <c r="BA67" s="258">
        <f>IFERROR(VLOOKUP(A67,CFR20212022_BenchMarkDataReport!$B$4:$CL$90,71,0),0)</f>
        <v>0</v>
      </c>
      <c r="BB67" s="258">
        <f>IFERROR(VLOOKUP(A67,CFR20212022_BenchMarkDataReport!$B$4:$CL$90,72,0),0)</f>
        <v>0</v>
      </c>
      <c r="BC67" s="259">
        <f t="shared" si="84"/>
        <v>2749786.8900000006</v>
      </c>
      <c r="BD67" s="260">
        <f t="shared" si="81"/>
        <v>2859241.6599999992</v>
      </c>
      <c r="BE67" s="300">
        <f t="shared" si="82"/>
        <v>-109454.76999999862</v>
      </c>
      <c r="BF67" s="258">
        <f>IFERROR(VLOOKUP(A67,CFR20212022_BenchMarkDataReport!$B$4:$CL$90,16,0),0)</f>
        <v>-254468.62</v>
      </c>
      <c r="BG67" s="300">
        <f t="shared" si="83"/>
        <v>-363923.38999999862</v>
      </c>
      <c r="BH67" s="261">
        <f>IFERROR(VLOOKUP(A67,'Pupil Nos BenchmarkData 21-22'!$A$6:$E$94,5,0),0)</f>
        <v>472.5</v>
      </c>
      <c r="BI67" s="260">
        <f t="shared" si="1"/>
        <v>2407519.08</v>
      </c>
      <c r="BJ67" s="227" t="s">
        <v>183</v>
      </c>
      <c r="BK67" s="262">
        <f t="shared" si="85"/>
        <v>0.83827710008465395</v>
      </c>
      <c r="BL67" s="263">
        <f t="shared" si="86"/>
        <v>4878.4833439153435</v>
      </c>
      <c r="BM67" s="264">
        <f t="shared" si="87"/>
        <v>0</v>
      </c>
      <c r="BN67" s="265">
        <f t="shared" si="88"/>
        <v>0</v>
      </c>
      <c r="BO67" s="262">
        <f t="shared" si="89"/>
        <v>3.7252232299354648E-2</v>
      </c>
      <c r="BP67" s="263">
        <f t="shared" si="90"/>
        <v>216.79513227513226</v>
      </c>
      <c r="BQ67" s="264">
        <f t="shared" si="91"/>
        <v>0</v>
      </c>
      <c r="BR67" s="265">
        <f t="shared" si="92"/>
        <v>0</v>
      </c>
      <c r="BS67" s="262">
        <f t="shared" si="93"/>
        <v>4.4999832696125758E-2</v>
      </c>
      <c r="BT67" s="263">
        <f t="shared" si="94"/>
        <v>261.88349206349204</v>
      </c>
      <c r="BU67" s="264">
        <f t="shared" si="95"/>
        <v>0</v>
      </c>
      <c r="BV67" s="265">
        <f t="shared" si="96"/>
        <v>0</v>
      </c>
      <c r="BW67" s="262">
        <f t="shared" si="97"/>
        <v>3.8548441839432869E-7</v>
      </c>
      <c r="BX67" s="263">
        <f t="shared" si="98"/>
        <v>2.2433862433862434E-3</v>
      </c>
      <c r="BY67" s="264">
        <f t="shared" si="99"/>
        <v>1.7294518412661421E-2</v>
      </c>
      <c r="BZ67" s="266">
        <f t="shared" si="100"/>
        <v>100.64812698412698</v>
      </c>
      <c r="CA67" s="267">
        <f t="shared" si="101"/>
        <v>3.2757411247967649E-3</v>
      </c>
      <c r="CB67" s="268">
        <f t="shared" si="102"/>
        <v>19.063682539682539</v>
      </c>
      <c r="CC67" s="264">
        <f t="shared" si="103"/>
        <v>1.2419289699937435E-3</v>
      </c>
      <c r="CD67" s="265">
        <f t="shared" si="104"/>
        <v>7.2275978835978831</v>
      </c>
      <c r="CE67" s="269">
        <f t="shared" si="105"/>
        <v>0.58019757002299643</v>
      </c>
      <c r="CF67" s="267">
        <f t="shared" si="106"/>
        <v>0.50797999113305814</v>
      </c>
      <c r="CG67" s="267">
        <f t="shared" si="107"/>
        <v>0.48853398421733979</v>
      </c>
      <c r="CH67" s="268">
        <f t="shared" si="108"/>
        <v>2956.2681904761903</v>
      </c>
      <c r="CI67" s="264">
        <f t="shared" si="109"/>
        <v>0.20474975841105275</v>
      </c>
      <c r="CJ67" s="270">
        <f t="shared" si="110"/>
        <v>0.1792644192874161</v>
      </c>
      <c r="CK67" s="270">
        <f t="shared" si="111"/>
        <v>0.17240198927431694</v>
      </c>
      <c r="CL67" s="271">
        <f t="shared" si="112"/>
        <v>1043.257037037037</v>
      </c>
      <c r="CM67" s="269">
        <f t="shared" si="113"/>
        <v>5.2251070840942201E-2</v>
      </c>
      <c r="CN67" s="267">
        <f t="shared" si="114"/>
        <v>4.5747345169719671E-2</v>
      </c>
      <c r="CO67" s="267">
        <f t="shared" si="115"/>
        <v>4.3996088809086543E-2</v>
      </c>
      <c r="CP67" s="268">
        <f t="shared" si="116"/>
        <v>266.23375661375661</v>
      </c>
      <c r="CQ67" s="264">
        <f t="shared" si="117"/>
        <v>5.2190369349014672E-2</v>
      </c>
      <c r="CR67" s="270">
        <f t="shared" si="118"/>
        <v>4.5694199233017645E-2</v>
      </c>
      <c r="CS67" s="270">
        <f t="shared" si="119"/>
        <v>4.3944977354589902E-2</v>
      </c>
      <c r="CT67" s="265">
        <f t="shared" si="120"/>
        <v>265.9244656084656</v>
      </c>
      <c r="CU67" s="269">
        <f t="shared" si="121"/>
        <v>0.87545058625246686</v>
      </c>
      <c r="CV67" s="267">
        <f t="shared" si="122"/>
        <v>0.76648266731681136</v>
      </c>
      <c r="CW67" s="267">
        <f t="shared" si="123"/>
        <v>0.73714090679554534</v>
      </c>
      <c r="CX67" s="268">
        <f t="shared" si="124"/>
        <v>4460.6645291005289</v>
      </c>
      <c r="CY67" s="264">
        <f t="shared" si="125"/>
        <v>1.2489259275153907E-2</v>
      </c>
      <c r="CZ67" s="270">
        <f t="shared" si="126"/>
        <v>1.0516120557644648E-2</v>
      </c>
      <c r="DA67" s="265">
        <f t="shared" si="127"/>
        <v>63.636253968253968</v>
      </c>
      <c r="DB67" s="269">
        <f t="shared" si="128"/>
        <v>2.4959135493290209E-3</v>
      </c>
      <c r="DC67" s="268">
        <f t="shared" si="129"/>
        <v>15.103534391534392</v>
      </c>
      <c r="DD67" s="264">
        <f t="shared" si="130"/>
        <v>2.4847985836108099E-2</v>
      </c>
      <c r="DE67" s="270">
        <f t="shared" si="131"/>
        <v>2.0922330853279474E-2</v>
      </c>
      <c r="DF67" s="265">
        <f t="shared" si="132"/>
        <v>126.60740740740741</v>
      </c>
      <c r="DG67" s="269">
        <f t="shared" si="133"/>
        <v>6.8105670007815675E-3</v>
      </c>
      <c r="DH67" s="267">
        <f t="shared" si="134"/>
        <v>5.7345869813606462E-3</v>
      </c>
      <c r="DI67" s="272">
        <f t="shared" si="135"/>
        <v>34.701735449735452</v>
      </c>
      <c r="DJ67" s="264">
        <f t="shared" si="136"/>
        <v>2.5514854902001439E-2</v>
      </c>
      <c r="DK67" s="270">
        <f t="shared" si="137"/>
        <v>2.2339003878224174E-2</v>
      </c>
      <c r="DL67" s="270">
        <f t="shared" si="138"/>
        <v>2.1483843376848399E-2</v>
      </c>
      <c r="DM67" s="265">
        <f t="shared" si="139"/>
        <v>130.00529100529101</v>
      </c>
      <c r="DN67" s="269">
        <f t="shared" si="140"/>
        <v>8.1146148175074897E-3</v>
      </c>
      <c r="DO67" s="267">
        <f t="shared" si="141"/>
        <v>6.832612392755919E-3</v>
      </c>
      <c r="DP67" s="268">
        <f t="shared" si="142"/>
        <v>41.346222222222224</v>
      </c>
      <c r="DQ67" s="264">
        <f t="shared" si="143"/>
        <v>7.4647973298720444E-2</v>
      </c>
      <c r="DR67" s="270">
        <f t="shared" si="144"/>
        <v>6.2854575223277934E-2</v>
      </c>
      <c r="DS67" s="265">
        <f t="shared" si="145"/>
        <v>380.35221164021169</v>
      </c>
      <c r="DT67" s="269">
        <f t="shared" si="146"/>
        <v>4.7344487139292742E-2</v>
      </c>
      <c r="DU67" s="268">
        <f t="shared" si="147"/>
        <v>286.49593650793651</v>
      </c>
      <c r="DV67" s="264">
        <f t="shared" si="2"/>
        <v>7.7872396417167505E-4</v>
      </c>
      <c r="DW67" s="265">
        <f t="shared" si="3"/>
        <v>4.7122962962962962</v>
      </c>
      <c r="DX67" s="264">
        <f t="shared" si="148"/>
        <v>3.8213611997625369E-5</v>
      </c>
      <c r="DY67" s="270">
        <f t="shared" si="149"/>
        <v>3.3457138200262488E-5</v>
      </c>
      <c r="DZ67" s="270">
        <f t="shared" si="150"/>
        <v>3.217636385446343E-5</v>
      </c>
      <c r="EA67" s="265">
        <f t="shared" si="151"/>
        <v>0.19470899470899472</v>
      </c>
      <c r="EB67" s="273">
        <f>IFERROR(VLOOKUP(A67,'BARNET SCHS PUPIL PREMIUM Nos'!$E$31:$V$117,17,0),0)</f>
        <v>92</v>
      </c>
      <c r="EC67" s="258">
        <f>IFERROR(VLOOKUP(A67,CFR20212022_BenchMarkDataReport!$B$4:$CL$90,36,0),0)</f>
        <v>0</v>
      </c>
      <c r="ED67" s="258">
        <f>IFERROR(VLOOKUP(A67,CFR20212022_BenchMarkDataReport!$B$4:$CL$90,37,0),0)</f>
        <v>0</v>
      </c>
      <c r="EE67" s="258">
        <f>IFERROR(VLOOKUP(A67,CFR20212022_BenchMarkDataReport!$B$4:$CL$90,38,0),0)</f>
        <v>0</v>
      </c>
      <c r="EF67" s="258">
        <f>IFERROR(VLOOKUP(A67,CFR20212022_BenchMarkDataReport!$B$4:$CL$90,39,0),0)</f>
        <v>101462.5</v>
      </c>
      <c r="EG67" s="227"/>
    </row>
    <row r="68" spans="1:137" s="5" customFormat="1">
      <c r="A68" s="147">
        <v>3312</v>
      </c>
      <c r="B68" s="298">
        <v>10093</v>
      </c>
      <c r="C68" s="147" t="s">
        <v>95</v>
      </c>
      <c r="D68" s="258">
        <f>IFERROR(VLOOKUP(A68,CFR20212022_BenchMarkDataReport!$B$4:$CL$90,19,0),0)</f>
        <v>966872.14</v>
      </c>
      <c r="E68" s="258">
        <f>IFERROR(VLOOKUP(A68,CFR20212022_BenchMarkDataReport!$B$4:$CL$90,20,0),0)</f>
        <v>0</v>
      </c>
      <c r="F68" s="258">
        <f>IFERROR(VLOOKUP(A68,CFR20212022_BenchMarkDataReport!$B$4:$CL$90,21,0),0)</f>
        <v>23363.35</v>
      </c>
      <c r="G68" s="258">
        <f>IFERROR(VLOOKUP(A68,CFR20212022_BenchMarkDataReport!$B$4:$CL$90,22,0),0)</f>
        <v>0</v>
      </c>
      <c r="H68" s="258">
        <f>IFERROR(VLOOKUP(A68,CFR20212022_BenchMarkDataReport!$B$4:$CL$90,23,0),0)</f>
        <v>28310.12</v>
      </c>
      <c r="I68" s="258">
        <f>IFERROR(VLOOKUP(A68,CFR20212022_BenchMarkDataReport!$B$4:$CL$90,24,0),0)</f>
        <v>5354.5</v>
      </c>
      <c r="J68" s="258">
        <f>IFERROR(VLOOKUP(A68,CFR20212022_BenchMarkDataReport!$B$4:$CL$90,25,0),0)</f>
        <v>0</v>
      </c>
      <c r="K68" s="258">
        <f>IFERROR(VLOOKUP(A68,CFR20212022_BenchMarkDataReport!$B$4:$CL$90,26,0),0)</f>
        <v>0</v>
      </c>
      <c r="L68" s="258">
        <f>IFERROR(VLOOKUP(A68,CFR20212022_BenchMarkDataReport!$B$4:$CL$90,27,0),0)</f>
        <v>7466.2</v>
      </c>
      <c r="M68" s="258">
        <f>IFERROR(VLOOKUP(A68,CFR20212022_BenchMarkDataReport!$B$4:$CL$90,28,0),0)</f>
        <v>26598.77</v>
      </c>
      <c r="N68" s="258">
        <f>IFERROR(VLOOKUP(A68,CFR20212022_BenchMarkDataReport!$B$4:$CL$90,29,0),0)</f>
        <v>0</v>
      </c>
      <c r="O68" s="258">
        <f>IFERROR(VLOOKUP(A68,CFR20212022_BenchMarkDataReport!$B$4:$CL$90,30,0),0)</f>
        <v>0</v>
      </c>
      <c r="P68" s="258">
        <f>IFERROR(VLOOKUP(A68,CFR20212022_BenchMarkDataReport!$B$4:$CL$90,31,0),0)</f>
        <v>18578.650000000001</v>
      </c>
      <c r="Q68" s="258">
        <f>IFERROR(VLOOKUP(A68,CFR20212022_BenchMarkDataReport!$B$4:$CL$90,32,0),0)</f>
        <v>5059.95</v>
      </c>
      <c r="R68" s="258">
        <f>IFERROR(VLOOKUP(A68,CFR20212022_BenchMarkDataReport!$B$4:$CL$90,33,0),0)</f>
        <v>0</v>
      </c>
      <c r="S68" s="258">
        <f>IFERROR(VLOOKUP(A68,CFR20212022_BenchMarkDataReport!$B$4:$CL$90,34,0),0)</f>
        <v>0</v>
      </c>
      <c r="T68" s="258">
        <f>IFERROR(VLOOKUP(A68,CFR20212022_BenchMarkDataReport!$B$4:$CL$90,35,0),0)</f>
        <v>0</v>
      </c>
      <c r="U68" s="258">
        <f t="shared" ref="U68:U97" si="152">SUM(EC68:EF68)</f>
        <v>65271.380000000005</v>
      </c>
      <c r="V68" s="258">
        <f>IFERROR(VLOOKUP(A68,CFR20212022_BenchMarkDataReport!$B$4:$CL$90,40,0),0)</f>
        <v>604770.64</v>
      </c>
      <c r="W68" s="258">
        <f>IFERROR(VLOOKUP(A68,CFR20212022_BenchMarkDataReport!$B$4:$CL$90,41,0),0)</f>
        <v>0</v>
      </c>
      <c r="X68" s="258">
        <f>IFERROR(VLOOKUP(A68,CFR20212022_BenchMarkDataReport!$B$4:$CL$90,42,0),0)</f>
        <v>200164.35</v>
      </c>
      <c r="Y68" s="258">
        <f>IFERROR(VLOOKUP(A68,CFR20212022_BenchMarkDataReport!$B$4:$CL$90,43,0),0)</f>
        <v>30431.08</v>
      </c>
      <c r="Z68" s="258">
        <f>IFERROR(VLOOKUP(A68,CFR20212022_BenchMarkDataReport!$B$4:$CL$90,44,0),0)</f>
        <v>58492.29</v>
      </c>
      <c r="AA68" s="258">
        <f>IFERROR(VLOOKUP(A68,CFR20212022_BenchMarkDataReport!$B$4:$CL$90,45,0),0)</f>
        <v>0</v>
      </c>
      <c r="AB68" s="258">
        <f>IFERROR(VLOOKUP(A68,CFR20212022_BenchMarkDataReport!$B$4:$CL$90,46,0),0)</f>
        <v>1019.96</v>
      </c>
      <c r="AC68" s="258">
        <f>IFERROR(VLOOKUP(A68,CFR20212022_BenchMarkDataReport!$B$4:$CL$90,47,0),0)</f>
        <v>330</v>
      </c>
      <c r="AD68" s="258">
        <f>IFERROR(VLOOKUP(A68,CFR20212022_BenchMarkDataReport!$B$4:$CL$90,48,0),0)</f>
        <v>1920.03</v>
      </c>
      <c r="AE68" s="258">
        <f>IFERROR(VLOOKUP(A68,CFR20212022_BenchMarkDataReport!$B$4:$CL$90,49,0),0)</f>
        <v>9929.65</v>
      </c>
      <c r="AF68" s="258">
        <f>IFERROR(VLOOKUP(A68,CFR20212022_BenchMarkDataReport!$B$4:$CL$90,50,0),0)</f>
        <v>0</v>
      </c>
      <c r="AG68" s="258">
        <f>IFERROR(VLOOKUP(A68,CFR20212022_BenchMarkDataReport!$B$4:$CL$90,51,0),0)</f>
        <v>11512.19</v>
      </c>
      <c r="AH68" s="258">
        <f>IFERROR(VLOOKUP(A68,CFR20212022_BenchMarkDataReport!$B$4:$CL$90,52,0),0)</f>
        <v>6716.36</v>
      </c>
      <c r="AI68" s="258">
        <f>IFERROR(VLOOKUP(A68,CFR20212022_BenchMarkDataReport!$B$4:$CL$90,53,0),0)</f>
        <v>23897.599999999999</v>
      </c>
      <c r="AJ68" s="258">
        <f>IFERROR(VLOOKUP(A68,CFR20212022_BenchMarkDataReport!$B$4:$CL$90,54,0),0)</f>
        <v>-1120.93</v>
      </c>
      <c r="AK68" s="258">
        <f>IFERROR(VLOOKUP(A68,CFR20212022_BenchMarkDataReport!$B$4:$CL$90,55,0),0)</f>
        <v>7679.6</v>
      </c>
      <c r="AL68" s="258">
        <f>IFERROR(VLOOKUP(A68,CFR20212022_BenchMarkDataReport!$B$4:$CL$90,56,0),0)</f>
        <v>-3370</v>
      </c>
      <c r="AM68" s="258">
        <f>IFERROR(VLOOKUP(A68,CFR20212022_BenchMarkDataReport!$B$4:$CL$90,57,0),0)</f>
        <v>10012.11</v>
      </c>
      <c r="AN68" s="258">
        <f>IFERROR(VLOOKUP(A68,CFR20212022_BenchMarkDataReport!$B$4:$CL$90,58,0),0)</f>
        <v>34834.230000000003</v>
      </c>
      <c r="AO68" s="258">
        <f>IFERROR(VLOOKUP(A68,CFR20212022_BenchMarkDataReport!$B$4:$CL$90,59,0),0)</f>
        <v>12253.06</v>
      </c>
      <c r="AP68" s="258">
        <f>IFERROR(VLOOKUP(A68,CFR20212022_BenchMarkDataReport!$B$4:$CL$90,60,0),0)</f>
        <v>0</v>
      </c>
      <c r="AQ68" s="258">
        <f>IFERROR(VLOOKUP(A68,CFR20212022_BenchMarkDataReport!$B$4:$CL$90,61,0),0)</f>
        <v>8693.81</v>
      </c>
      <c r="AR68" s="258">
        <f>IFERROR(VLOOKUP(A68,CFR20212022_BenchMarkDataReport!$B$4:$CL$90,62,0),0)</f>
        <v>1880.44</v>
      </c>
      <c r="AS68" s="258">
        <f>IFERROR(VLOOKUP(A68,CFR20212022_BenchMarkDataReport!$B$4:$CL$90,63,0),0)</f>
        <v>3062.45</v>
      </c>
      <c r="AT68" s="258">
        <f>IFERROR(VLOOKUP(A68,CFR20212022_BenchMarkDataReport!$B$4:$CL$90,64,0),0)</f>
        <v>64855.12</v>
      </c>
      <c r="AU68" s="258">
        <f>IFERROR(VLOOKUP(A68,CFR20212022_BenchMarkDataReport!$B$4:$CL$90,65,0),0)</f>
        <v>0</v>
      </c>
      <c r="AV68" s="258">
        <f>IFERROR(VLOOKUP(A68,CFR20212022_BenchMarkDataReport!$B$4:$CL$90,66,0),0)</f>
        <v>28347.919999999998</v>
      </c>
      <c r="AW68" s="258">
        <f>IFERROR(VLOOKUP(A68,CFR20212022_BenchMarkDataReport!$B$4:$CL$90,67,0),0)</f>
        <v>30062</v>
      </c>
      <c r="AX68" s="258">
        <f>IFERROR(VLOOKUP(A68,CFR20212022_BenchMarkDataReport!$B$4:$CL$90,68,0),0)</f>
        <v>0</v>
      </c>
      <c r="AY68" s="258">
        <f>IFERROR(VLOOKUP(A68,CFR20212022_BenchMarkDataReport!$B$4:$CL$90,69,0),0)</f>
        <v>0</v>
      </c>
      <c r="AZ68" s="258">
        <f>IFERROR(VLOOKUP(A68,CFR20212022_BenchMarkDataReport!$B$4:$CL$90,70,0),0)</f>
        <v>0</v>
      </c>
      <c r="BA68" s="258">
        <f>IFERROR(VLOOKUP(A68,CFR20212022_BenchMarkDataReport!$B$4:$CL$90,71,0),0)</f>
        <v>0</v>
      </c>
      <c r="BB68" s="258">
        <f>IFERROR(VLOOKUP(A68,CFR20212022_BenchMarkDataReport!$B$4:$CL$90,72,0),0)</f>
        <v>0</v>
      </c>
      <c r="BC68" s="259">
        <f t="shared" si="84"/>
        <v>1146875.0599999996</v>
      </c>
      <c r="BD68" s="260">
        <f t="shared" si="81"/>
        <v>1146373.9599999997</v>
      </c>
      <c r="BE68" s="300">
        <f t="shared" si="82"/>
        <v>501.0999999998603</v>
      </c>
      <c r="BF68" s="258">
        <f>IFERROR(VLOOKUP(A68,CFR20212022_BenchMarkDataReport!$B$4:$CL$90,16,0),0)</f>
        <v>53198.85</v>
      </c>
      <c r="BG68" s="300">
        <f t="shared" si="83"/>
        <v>53699.949999999859</v>
      </c>
      <c r="BH68" s="261">
        <f>IFERROR(VLOOKUP(A68,'Pupil Nos BenchmarkData 21-22'!$A$6:$E$94,5,0),0)</f>
        <v>210</v>
      </c>
      <c r="BI68" s="260">
        <f t="shared" ref="BI68:BI94" si="153">D68+E68+F68</f>
        <v>990235.49</v>
      </c>
      <c r="BJ68" s="227" t="s">
        <v>183</v>
      </c>
      <c r="BK68" s="262">
        <f t="shared" si="85"/>
        <v>0.84304923327916848</v>
      </c>
      <c r="BL68" s="263">
        <f t="shared" si="86"/>
        <v>4604.1530476190474</v>
      </c>
      <c r="BM68" s="264">
        <f t="shared" si="87"/>
        <v>0</v>
      </c>
      <c r="BN68" s="265">
        <f t="shared" si="88"/>
        <v>0</v>
      </c>
      <c r="BO68" s="262">
        <f t="shared" si="89"/>
        <v>2.0371312285751515E-2</v>
      </c>
      <c r="BP68" s="263">
        <f t="shared" si="90"/>
        <v>111.25404761904761</v>
      </c>
      <c r="BQ68" s="264">
        <f t="shared" si="91"/>
        <v>0</v>
      </c>
      <c r="BR68" s="265">
        <f t="shared" si="92"/>
        <v>0</v>
      </c>
      <c r="BS68" s="262">
        <f t="shared" si="93"/>
        <v>2.4684572005602781E-2</v>
      </c>
      <c r="BT68" s="263">
        <f t="shared" si="94"/>
        <v>134.81009523809524</v>
      </c>
      <c r="BU68" s="264">
        <f t="shared" si="95"/>
        <v>4.668773597709939E-3</v>
      </c>
      <c r="BV68" s="265">
        <f t="shared" si="96"/>
        <v>25.497619047619047</v>
      </c>
      <c r="BW68" s="262">
        <f t="shared" si="97"/>
        <v>0</v>
      </c>
      <c r="BX68" s="263">
        <f t="shared" si="98"/>
        <v>0</v>
      </c>
      <c r="BY68" s="264">
        <f t="shared" si="99"/>
        <v>6.5100378065593321E-3</v>
      </c>
      <c r="BZ68" s="266">
        <f t="shared" si="100"/>
        <v>35.553333333333335</v>
      </c>
      <c r="CA68" s="267">
        <f t="shared" si="101"/>
        <v>1.6199366999924133E-2</v>
      </c>
      <c r="CB68" s="268">
        <f t="shared" si="102"/>
        <v>88.46976190476191</v>
      </c>
      <c r="CC68" s="264">
        <f t="shared" si="103"/>
        <v>4.4119452732715291E-3</v>
      </c>
      <c r="CD68" s="265">
        <f t="shared" si="104"/>
        <v>24.094999999999999</v>
      </c>
      <c r="CE68" s="269">
        <f t="shared" si="105"/>
        <v>0.61073415981081436</v>
      </c>
      <c r="CF68" s="267">
        <f t="shared" si="106"/>
        <v>0.52732042145898628</v>
      </c>
      <c r="CG68" s="267">
        <f t="shared" si="107"/>
        <v>0.52755092238836288</v>
      </c>
      <c r="CH68" s="268">
        <f t="shared" si="108"/>
        <v>2879.8601904761904</v>
      </c>
      <c r="CI68" s="264">
        <f t="shared" si="109"/>
        <v>0.20213812978971296</v>
      </c>
      <c r="CJ68" s="270">
        <f t="shared" si="110"/>
        <v>0.17453021430250656</v>
      </c>
      <c r="CK68" s="270">
        <f t="shared" si="111"/>
        <v>0.17460650449526963</v>
      </c>
      <c r="CL68" s="271">
        <f t="shared" si="112"/>
        <v>953.16357142857146</v>
      </c>
      <c r="CM68" s="269">
        <f t="shared" si="113"/>
        <v>3.0731154667058037E-2</v>
      </c>
      <c r="CN68" s="267">
        <f t="shared" si="114"/>
        <v>2.6533910328471189E-2</v>
      </c>
      <c r="CO68" s="267">
        <f t="shared" si="115"/>
        <v>2.6545508762254168E-2</v>
      </c>
      <c r="CP68" s="268">
        <f t="shared" si="116"/>
        <v>144.90990476190478</v>
      </c>
      <c r="CQ68" s="264">
        <f t="shared" si="117"/>
        <v>5.9069070529879718E-2</v>
      </c>
      <c r="CR68" s="270">
        <f t="shared" si="118"/>
        <v>5.1001449102921481E-2</v>
      </c>
      <c r="CS68" s="270">
        <f t="shared" si="119"/>
        <v>5.1023742723535007E-2</v>
      </c>
      <c r="CT68" s="265">
        <f t="shared" si="120"/>
        <v>278.5347142857143</v>
      </c>
      <c r="CU68" s="269">
        <f t="shared" si="121"/>
        <v>0.90370253241478948</v>
      </c>
      <c r="CV68" s="267">
        <f t="shared" si="122"/>
        <v>0.78027533356597734</v>
      </c>
      <c r="CW68" s="267">
        <f t="shared" si="123"/>
        <v>0.78061640548778699</v>
      </c>
      <c r="CX68" s="268">
        <f t="shared" si="124"/>
        <v>4261.3253333333332</v>
      </c>
      <c r="CY68" s="264">
        <f t="shared" si="125"/>
        <v>1.1625709355256496E-2</v>
      </c>
      <c r="CZ68" s="270">
        <f t="shared" si="126"/>
        <v>1.0042264044448466E-2</v>
      </c>
      <c r="DA68" s="265">
        <f t="shared" si="127"/>
        <v>54.819952380952387</v>
      </c>
      <c r="DB68" s="269">
        <f t="shared" si="128"/>
        <v>-9.7780483429682962E-4</v>
      </c>
      <c r="DC68" s="268">
        <f t="shared" si="129"/>
        <v>-5.3377619047619049</v>
      </c>
      <c r="DD68" s="264">
        <f t="shared" si="130"/>
        <v>7.7553269677296663E-3</v>
      </c>
      <c r="DE68" s="270">
        <f t="shared" si="131"/>
        <v>6.6990356270828083E-3</v>
      </c>
      <c r="DF68" s="265">
        <f t="shared" si="132"/>
        <v>36.569523809523808</v>
      </c>
      <c r="DG68" s="269">
        <f t="shared" si="133"/>
        <v>1.0110837372633455E-2</v>
      </c>
      <c r="DH68" s="267">
        <f t="shared" si="134"/>
        <v>8.7337207136142583E-3</v>
      </c>
      <c r="DI68" s="272">
        <f t="shared" si="135"/>
        <v>47.67671428571429</v>
      </c>
      <c r="DJ68" s="264">
        <f t="shared" si="136"/>
        <v>3.5177723230259098E-2</v>
      </c>
      <c r="DK68" s="270">
        <f t="shared" si="137"/>
        <v>3.0373168983202071E-2</v>
      </c>
      <c r="DL68" s="270">
        <f t="shared" si="138"/>
        <v>3.0386445623729982E-2</v>
      </c>
      <c r="DM68" s="265">
        <f t="shared" si="139"/>
        <v>165.87728571428573</v>
      </c>
      <c r="DN68" s="269">
        <f t="shared" si="140"/>
        <v>8.7795378854781288E-3</v>
      </c>
      <c r="DO68" s="267">
        <f t="shared" si="141"/>
        <v>7.5837469301902162E-3</v>
      </c>
      <c r="DP68" s="268">
        <f t="shared" si="142"/>
        <v>41.399095238095235</v>
      </c>
      <c r="DQ68" s="264">
        <f t="shared" si="143"/>
        <v>2.8627453051596845E-2</v>
      </c>
      <c r="DR68" s="270">
        <f t="shared" si="144"/>
        <v>2.4728335594782706E-2</v>
      </c>
      <c r="DS68" s="265">
        <f t="shared" si="145"/>
        <v>134.99009523809522</v>
      </c>
      <c r="DT68" s="269">
        <f t="shared" si="146"/>
        <v>5.6574139210210268E-2</v>
      </c>
      <c r="DU68" s="268">
        <f t="shared" si="147"/>
        <v>308.83390476190476</v>
      </c>
      <c r="DV68" s="264">
        <f t="shared" si="2"/>
        <v>2.0846251601876933E-2</v>
      </c>
      <c r="DW68" s="265">
        <f t="shared" si="3"/>
        <v>113.79809523809523</v>
      </c>
      <c r="DX68" s="264">
        <f t="shared" si="148"/>
        <v>2.1207076712631255E-5</v>
      </c>
      <c r="DY68" s="270">
        <f t="shared" si="149"/>
        <v>1.8310625745057189E-5</v>
      </c>
      <c r="DZ68" s="270">
        <f t="shared" si="150"/>
        <v>1.8318629638098204E-5</v>
      </c>
      <c r="EA68" s="265">
        <f t="shared" si="151"/>
        <v>0.1</v>
      </c>
      <c r="EB68" s="273">
        <f>IFERROR(VLOOKUP(A68,'BARNET SCHS PUPIL PREMIUM Nos'!$E$31:$V$117,17,0),0)</f>
        <v>21</v>
      </c>
      <c r="EC68" s="258">
        <f>IFERROR(VLOOKUP(A68,CFR20212022_BenchMarkDataReport!$B$4:$CL$90,36,0),0)</f>
        <v>0</v>
      </c>
      <c r="ED68" s="258">
        <f>IFERROR(VLOOKUP(A68,CFR20212022_BenchMarkDataReport!$B$4:$CL$90,37,0),0)</f>
        <v>2821.88</v>
      </c>
      <c r="EE68" s="258">
        <f>IFERROR(VLOOKUP(A68,CFR20212022_BenchMarkDataReport!$B$4:$CL$90,38,0),0)</f>
        <v>7060.2</v>
      </c>
      <c r="EF68" s="258">
        <f>IFERROR(VLOOKUP(A68,CFR20212022_BenchMarkDataReport!$B$4:$CL$90,39,0),0)</f>
        <v>55389.3</v>
      </c>
      <c r="EG68" s="227"/>
    </row>
    <row r="69" spans="1:137" s="5" customFormat="1">
      <c r="A69" s="147">
        <v>3311</v>
      </c>
      <c r="B69" s="298">
        <v>10092</v>
      </c>
      <c r="C69" s="147" t="s">
        <v>96</v>
      </c>
      <c r="D69" s="258">
        <f>IFERROR(VLOOKUP(A69,CFR20212022_BenchMarkDataReport!$B$4:$CL$90,19,0),0)</f>
        <v>2008323.87</v>
      </c>
      <c r="E69" s="258">
        <f>IFERROR(VLOOKUP(A69,CFR20212022_BenchMarkDataReport!$B$4:$CL$90,20,0),0)</f>
        <v>0</v>
      </c>
      <c r="F69" s="258">
        <f>IFERROR(VLOOKUP(A69,CFR20212022_BenchMarkDataReport!$B$4:$CL$90,21,0),0)</f>
        <v>63984.63</v>
      </c>
      <c r="G69" s="258">
        <f>IFERROR(VLOOKUP(A69,CFR20212022_BenchMarkDataReport!$B$4:$CL$90,22,0),0)</f>
        <v>0</v>
      </c>
      <c r="H69" s="258">
        <f>IFERROR(VLOOKUP(A69,CFR20212022_BenchMarkDataReport!$B$4:$CL$90,23,0),0)</f>
        <v>101784.94</v>
      </c>
      <c r="I69" s="258">
        <f>IFERROR(VLOOKUP(A69,CFR20212022_BenchMarkDataReport!$B$4:$CL$90,24,0),0)</f>
        <v>5600</v>
      </c>
      <c r="J69" s="258">
        <f>IFERROR(VLOOKUP(A69,CFR20212022_BenchMarkDataReport!$B$4:$CL$90,25,0),0)</f>
        <v>0</v>
      </c>
      <c r="K69" s="258">
        <f>IFERROR(VLOOKUP(A69,CFR20212022_BenchMarkDataReport!$B$4:$CL$90,26,0),0)</f>
        <v>11433.5</v>
      </c>
      <c r="L69" s="258">
        <f>IFERROR(VLOOKUP(A69,CFR20212022_BenchMarkDataReport!$B$4:$CL$90,27,0),0)</f>
        <v>66843.58</v>
      </c>
      <c r="M69" s="258">
        <f>IFERROR(VLOOKUP(A69,CFR20212022_BenchMarkDataReport!$B$4:$CL$90,28,0),0)</f>
        <v>63139.62</v>
      </c>
      <c r="N69" s="258">
        <f>IFERROR(VLOOKUP(A69,CFR20212022_BenchMarkDataReport!$B$4:$CL$90,29,0),0)</f>
        <v>0</v>
      </c>
      <c r="O69" s="258">
        <f>IFERROR(VLOOKUP(A69,CFR20212022_BenchMarkDataReport!$B$4:$CL$90,30,0),0)</f>
        <v>0</v>
      </c>
      <c r="P69" s="258">
        <f>IFERROR(VLOOKUP(A69,CFR20212022_BenchMarkDataReport!$B$4:$CL$90,31,0),0)</f>
        <v>27866.62</v>
      </c>
      <c r="Q69" s="258">
        <f>IFERROR(VLOOKUP(A69,CFR20212022_BenchMarkDataReport!$B$4:$CL$90,32,0),0)</f>
        <v>16738.46</v>
      </c>
      <c r="R69" s="258">
        <f>IFERROR(VLOOKUP(A69,CFR20212022_BenchMarkDataReport!$B$4:$CL$90,33,0),0)</f>
        <v>0</v>
      </c>
      <c r="S69" s="258">
        <f>IFERROR(VLOOKUP(A69,CFR20212022_BenchMarkDataReport!$B$4:$CL$90,34,0),0)</f>
        <v>0</v>
      </c>
      <c r="T69" s="258">
        <f>IFERROR(VLOOKUP(A69,CFR20212022_BenchMarkDataReport!$B$4:$CL$90,35,0),0)</f>
        <v>0</v>
      </c>
      <c r="U69" s="258">
        <f t="shared" si="152"/>
        <v>112820.38</v>
      </c>
      <c r="V69" s="258">
        <f>IFERROR(VLOOKUP(A69,CFR20212022_BenchMarkDataReport!$B$4:$CL$90,40,0),0)</f>
        <v>1193924.04</v>
      </c>
      <c r="W69" s="258">
        <f>IFERROR(VLOOKUP(A69,CFR20212022_BenchMarkDataReport!$B$4:$CL$90,41,0),0)</f>
        <v>0</v>
      </c>
      <c r="X69" s="258">
        <f>IFERROR(VLOOKUP(A69,CFR20212022_BenchMarkDataReport!$B$4:$CL$90,42,0),0)</f>
        <v>516946.56</v>
      </c>
      <c r="Y69" s="258">
        <f>IFERROR(VLOOKUP(A69,CFR20212022_BenchMarkDataReport!$B$4:$CL$90,43,0),0)</f>
        <v>34194.35</v>
      </c>
      <c r="Z69" s="258">
        <f>IFERROR(VLOOKUP(A69,CFR20212022_BenchMarkDataReport!$B$4:$CL$90,44,0),0)</f>
        <v>75354.09</v>
      </c>
      <c r="AA69" s="258">
        <f>IFERROR(VLOOKUP(A69,CFR20212022_BenchMarkDataReport!$B$4:$CL$90,45,0),0)</f>
        <v>0</v>
      </c>
      <c r="AB69" s="258">
        <f>IFERROR(VLOOKUP(A69,CFR20212022_BenchMarkDataReport!$B$4:$CL$90,46,0),0)</f>
        <v>30387.05</v>
      </c>
      <c r="AC69" s="258">
        <f>IFERROR(VLOOKUP(A69,CFR20212022_BenchMarkDataReport!$B$4:$CL$90,47,0),0)</f>
        <v>43982.9</v>
      </c>
      <c r="AD69" s="258">
        <f>IFERROR(VLOOKUP(A69,CFR20212022_BenchMarkDataReport!$B$4:$CL$90,48,0),0)</f>
        <v>7278.96</v>
      </c>
      <c r="AE69" s="258">
        <f>IFERROR(VLOOKUP(A69,CFR20212022_BenchMarkDataReport!$B$4:$CL$90,49,0),0)</f>
        <v>674.04</v>
      </c>
      <c r="AF69" s="258">
        <f>IFERROR(VLOOKUP(A69,CFR20212022_BenchMarkDataReport!$B$4:$CL$90,50,0),0)</f>
        <v>0</v>
      </c>
      <c r="AG69" s="258">
        <f>IFERROR(VLOOKUP(A69,CFR20212022_BenchMarkDataReport!$B$4:$CL$90,51,0),0)</f>
        <v>25159.65</v>
      </c>
      <c r="AH69" s="258">
        <f>IFERROR(VLOOKUP(A69,CFR20212022_BenchMarkDataReport!$B$4:$CL$90,52,0),0)</f>
        <v>1798.02</v>
      </c>
      <c r="AI69" s="258">
        <f>IFERROR(VLOOKUP(A69,CFR20212022_BenchMarkDataReport!$B$4:$CL$90,53,0),0)</f>
        <v>50805.18</v>
      </c>
      <c r="AJ69" s="258">
        <f>IFERROR(VLOOKUP(A69,CFR20212022_BenchMarkDataReport!$B$4:$CL$90,54,0),0)</f>
        <v>7554.67</v>
      </c>
      <c r="AK69" s="258">
        <f>IFERROR(VLOOKUP(A69,CFR20212022_BenchMarkDataReport!$B$4:$CL$90,55,0),0)</f>
        <v>22824.67</v>
      </c>
      <c r="AL69" s="258">
        <f>IFERROR(VLOOKUP(A69,CFR20212022_BenchMarkDataReport!$B$4:$CL$90,56,0),0)</f>
        <v>24259.200000000001</v>
      </c>
      <c r="AM69" s="258">
        <f>IFERROR(VLOOKUP(A69,CFR20212022_BenchMarkDataReport!$B$4:$CL$90,57,0),0)</f>
        <v>11621.85</v>
      </c>
      <c r="AN69" s="258">
        <f>IFERROR(VLOOKUP(A69,CFR20212022_BenchMarkDataReport!$B$4:$CL$90,58,0),0)</f>
        <v>97102.39</v>
      </c>
      <c r="AO69" s="258">
        <f>IFERROR(VLOOKUP(A69,CFR20212022_BenchMarkDataReport!$B$4:$CL$90,59,0),0)</f>
        <v>19992.73</v>
      </c>
      <c r="AP69" s="258">
        <f>IFERROR(VLOOKUP(A69,CFR20212022_BenchMarkDataReport!$B$4:$CL$90,60,0),0)</f>
        <v>0</v>
      </c>
      <c r="AQ69" s="258">
        <f>IFERROR(VLOOKUP(A69,CFR20212022_BenchMarkDataReport!$B$4:$CL$90,61,0),0)</f>
        <v>15703.13</v>
      </c>
      <c r="AR69" s="258">
        <f>IFERROR(VLOOKUP(A69,CFR20212022_BenchMarkDataReport!$B$4:$CL$90,62,0),0)</f>
        <v>12905.87</v>
      </c>
      <c r="AS69" s="258">
        <f>IFERROR(VLOOKUP(A69,CFR20212022_BenchMarkDataReport!$B$4:$CL$90,63,0),0)</f>
        <v>1834.92</v>
      </c>
      <c r="AT69" s="258">
        <f>IFERROR(VLOOKUP(A69,CFR20212022_BenchMarkDataReport!$B$4:$CL$90,64,0),0)</f>
        <v>121058.48</v>
      </c>
      <c r="AU69" s="258">
        <f>IFERROR(VLOOKUP(A69,CFR20212022_BenchMarkDataReport!$B$4:$CL$90,65,0),0)</f>
        <v>59868.74</v>
      </c>
      <c r="AV69" s="258">
        <f>IFERROR(VLOOKUP(A69,CFR20212022_BenchMarkDataReport!$B$4:$CL$90,66,0),0)</f>
        <v>92592.61</v>
      </c>
      <c r="AW69" s="258">
        <f>IFERROR(VLOOKUP(A69,CFR20212022_BenchMarkDataReport!$B$4:$CL$90,67,0),0)</f>
        <v>31622.5</v>
      </c>
      <c r="AX69" s="258">
        <f>IFERROR(VLOOKUP(A69,CFR20212022_BenchMarkDataReport!$B$4:$CL$90,68,0),0)</f>
        <v>0</v>
      </c>
      <c r="AY69" s="258">
        <f>IFERROR(VLOOKUP(A69,CFR20212022_BenchMarkDataReport!$B$4:$CL$90,69,0),0)</f>
        <v>0</v>
      </c>
      <c r="AZ69" s="258">
        <f>IFERROR(VLOOKUP(A69,CFR20212022_BenchMarkDataReport!$B$4:$CL$90,70,0),0)</f>
        <v>0</v>
      </c>
      <c r="BA69" s="258">
        <f>IFERROR(VLOOKUP(A69,CFR20212022_BenchMarkDataReport!$B$4:$CL$90,71,0),0)</f>
        <v>0</v>
      </c>
      <c r="BB69" s="258">
        <f>IFERROR(VLOOKUP(A69,CFR20212022_BenchMarkDataReport!$B$4:$CL$90,72,0),0)</f>
        <v>0</v>
      </c>
      <c r="BC69" s="259">
        <f t="shared" si="84"/>
        <v>2478535.6</v>
      </c>
      <c r="BD69" s="260">
        <f t="shared" ref="BD69:BD81" si="154">SUM(V69:AZ69)</f>
        <v>2499446.6</v>
      </c>
      <c r="BE69" s="300">
        <f t="shared" ref="BE69:BE81" si="155">BC69-BD69</f>
        <v>-20911</v>
      </c>
      <c r="BF69" s="258">
        <f>IFERROR(VLOOKUP(A69,CFR20212022_BenchMarkDataReport!$B$4:$CL$90,16,0),0)</f>
        <v>79125.820000000007</v>
      </c>
      <c r="BG69" s="300">
        <f t="shared" ref="BG69:BG81" si="156">SUM(BE69:BF69)</f>
        <v>58214.820000000007</v>
      </c>
      <c r="BH69" s="261">
        <f>IFERROR(VLOOKUP(A69,'Pupil Nos BenchmarkData 21-22'!$A$6:$E$94,5,0),0)</f>
        <v>444</v>
      </c>
      <c r="BI69" s="260">
        <f t="shared" si="153"/>
        <v>2072308.5</v>
      </c>
      <c r="BJ69" s="227" t="s">
        <v>183</v>
      </c>
      <c r="BK69" s="262">
        <f t="shared" si="85"/>
        <v>0.81028647319005631</v>
      </c>
      <c r="BL69" s="263">
        <f t="shared" si="86"/>
        <v>4523.2519594594596</v>
      </c>
      <c r="BM69" s="264">
        <f t="shared" si="87"/>
        <v>0</v>
      </c>
      <c r="BN69" s="265">
        <f t="shared" si="88"/>
        <v>0</v>
      </c>
      <c r="BO69" s="262">
        <f t="shared" si="89"/>
        <v>2.581549766725158E-2</v>
      </c>
      <c r="BP69" s="263">
        <f t="shared" si="90"/>
        <v>144.10952702702701</v>
      </c>
      <c r="BQ69" s="264">
        <f t="shared" si="91"/>
        <v>0</v>
      </c>
      <c r="BR69" s="265">
        <f t="shared" si="92"/>
        <v>0</v>
      </c>
      <c r="BS69" s="262">
        <f t="shared" si="93"/>
        <v>4.1066563659606099E-2</v>
      </c>
      <c r="BT69" s="263">
        <f t="shared" si="94"/>
        <v>229.24536036036037</v>
      </c>
      <c r="BU69" s="264">
        <f t="shared" si="95"/>
        <v>2.2593986545926554E-3</v>
      </c>
      <c r="BV69" s="265">
        <f t="shared" si="96"/>
        <v>12.612612612612613</v>
      </c>
      <c r="BW69" s="262">
        <f t="shared" si="97"/>
        <v>0</v>
      </c>
      <c r="BX69" s="263">
        <f t="shared" si="98"/>
        <v>0</v>
      </c>
      <c r="BY69" s="264">
        <f t="shared" si="99"/>
        <v>3.1581987363828869E-2</v>
      </c>
      <c r="BZ69" s="266">
        <f t="shared" si="100"/>
        <v>176.29972972972973</v>
      </c>
      <c r="CA69" s="267">
        <f t="shared" si="101"/>
        <v>1.1243179238579424E-2</v>
      </c>
      <c r="CB69" s="268">
        <f t="shared" si="102"/>
        <v>62.762657657657655</v>
      </c>
      <c r="CC69" s="264">
        <f t="shared" si="103"/>
        <v>6.753366786420174E-3</v>
      </c>
      <c r="CD69" s="265">
        <f t="shared" si="104"/>
        <v>37.699234234234233</v>
      </c>
      <c r="CE69" s="269">
        <f t="shared" si="105"/>
        <v>0.60502226381834556</v>
      </c>
      <c r="CF69" s="267">
        <f t="shared" si="106"/>
        <v>0.50586030719106878</v>
      </c>
      <c r="CG69" s="267">
        <f t="shared" si="107"/>
        <v>0.501628152407817</v>
      </c>
      <c r="CH69" s="268">
        <f t="shared" si="108"/>
        <v>2823.8576126126127</v>
      </c>
      <c r="CI69" s="264">
        <f t="shared" si="109"/>
        <v>0.24945444174938239</v>
      </c>
      <c r="CJ69" s="270">
        <f t="shared" si="110"/>
        <v>0.2085693503857681</v>
      </c>
      <c r="CK69" s="270">
        <f t="shared" si="111"/>
        <v>0.20682440665065618</v>
      </c>
      <c r="CL69" s="271">
        <f t="shared" si="112"/>
        <v>1164.294054054054</v>
      </c>
      <c r="CM69" s="269">
        <f t="shared" si="113"/>
        <v>1.6500607896941983E-2</v>
      </c>
      <c r="CN69" s="267">
        <f t="shared" si="114"/>
        <v>1.379619078297685E-2</v>
      </c>
      <c r="CO69" s="267">
        <f t="shared" si="115"/>
        <v>1.3680768374887464E-2</v>
      </c>
      <c r="CP69" s="268">
        <f t="shared" si="116"/>
        <v>77.014301801801793</v>
      </c>
      <c r="CQ69" s="264">
        <f t="shared" si="117"/>
        <v>3.6362390059202089E-2</v>
      </c>
      <c r="CR69" s="270">
        <f t="shared" si="118"/>
        <v>3.0402665993581046E-2</v>
      </c>
      <c r="CS69" s="270">
        <f t="shared" si="119"/>
        <v>3.0148309629819653E-2</v>
      </c>
      <c r="CT69" s="265">
        <f t="shared" si="120"/>
        <v>169.71641891891892</v>
      </c>
      <c r="CU69" s="269">
        <f t="shared" si="121"/>
        <v>0.89311320684154905</v>
      </c>
      <c r="CV69" s="267">
        <f t="shared" si="122"/>
        <v>0.74673371243890962</v>
      </c>
      <c r="CW69" s="267">
        <f t="shared" si="123"/>
        <v>0.74048635005844898</v>
      </c>
      <c r="CX69" s="268">
        <f t="shared" si="124"/>
        <v>4168.4821846846853</v>
      </c>
      <c r="CY69" s="264">
        <f t="shared" si="125"/>
        <v>1.214088056869911E-2</v>
      </c>
      <c r="CZ69" s="270">
        <f t="shared" si="126"/>
        <v>1.0066088229290436E-2</v>
      </c>
      <c r="DA69" s="265">
        <f t="shared" si="127"/>
        <v>56.66587837837838</v>
      </c>
      <c r="DB69" s="269">
        <f t="shared" si="128"/>
        <v>3.0225370688055507E-3</v>
      </c>
      <c r="DC69" s="268">
        <f t="shared" si="129"/>
        <v>17.015022522522521</v>
      </c>
      <c r="DD69" s="264">
        <f t="shared" si="130"/>
        <v>1.1014127481501908E-2</v>
      </c>
      <c r="DE69" s="270">
        <f t="shared" si="131"/>
        <v>9.1318894350453407E-3</v>
      </c>
      <c r="DF69" s="265">
        <f t="shared" si="132"/>
        <v>51.406914414414409</v>
      </c>
      <c r="DG69" s="269">
        <f t="shared" si="133"/>
        <v>5.6081659656368734E-3</v>
      </c>
      <c r="DH69" s="267">
        <f t="shared" si="134"/>
        <v>4.6497692729262552E-3</v>
      </c>
      <c r="DI69" s="272">
        <f t="shared" si="135"/>
        <v>26.175337837837837</v>
      </c>
      <c r="DJ69" s="264">
        <f t="shared" si="136"/>
        <v>4.6857111284347865E-2</v>
      </c>
      <c r="DK69" s="270">
        <f t="shared" si="137"/>
        <v>3.9177323093523446E-2</v>
      </c>
      <c r="DL69" s="270">
        <f t="shared" si="138"/>
        <v>3.8849555737658088E-2</v>
      </c>
      <c r="DM69" s="265">
        <f t="shared" si="139"/>
        <v>218.69907657657657</v>
      </c>
      <c r="DN69" s="269">
        <f t="shared" si="140"/>
        <v>7.5776024660420974E-3</v>
      </c>
      <c r="DO69" s="267">
        <f t="shared" si="141"/>
        <v>6.2826427257937816E-3</v>
      </c>
      <c r="DP69" s="268">
        <f t="shared" si="142"/>
        <v>35.36740990990991</v>
      </c>
      <c r="DQ69" s="264">
        <f t="shared" si="143"/>
        <v>4.4680900551245142E-2</v>
      </c>
      <c r="DR69" s="270">
        <f t="shared" si="144"/>
        <v>3.7045244335286061E-2</v>
      </c>
      <c r="DS69" s="265">
        <f t="shared" si="145"/>
        <v>208.54191441441441</v>
      </c>
      <c r="DT69" s="269">
        <f t="shared" si="146"/>
        <v>4.8434113375336763E-2</v>
      </c>
      <c r="DU69" s="268">
        <f t="shared" si="147"/>
        <v>272.65423423423425</v>
      </c>
      <c r="DV69" s="264">
        <f t="shared" ref="DV69:DV97" si="157">IFERROR(AI69/BD69,0)</f>
        <v>2.0326571489864997E-2</v>
      </c>
      <c r="DW69" s="265">
        <f t="shared" ref="DW69:DW97" si="158">IFERROR((AI69/BH69),0)</f>
        <v>114.42608108108108</v>
      </c>
      <c r="DX69" s="264">
        <f t="shared" si="148"/>
        <v>2.8470664478768483E-5</v>
      </c>
      <c r="DY69" s="270">
        <f t="shared" si="149"/>
        <v>2.3804378682315476E-5</v>
      </c>
      <c r="DZ69" s="270">
        <f t="shared" si="150"/>
        <v>2.3605225252661929E-5</v>
      </c>
      <c r="EA69" s="265">
        <f t="shared" si="151"/>
        <v>0.13288288288288289</v>
      </c>
      <c r="EB69" s="273">
        <f>IFERROR(VLOOKUP(A69,'BARNET SCHS PUPIL PREMIUM Nos'!$E$31:$V$117,17,0),0)</f>
        <v>59</v>
      </c>
      <c r="EC69" s="258">
        <f>IFERROR(VLOOKUP(A69,CFR20212022_BenchMarkDataReport!$B$4:$CL$90,36,0),0)</f>
        <v>0</v>
      </c>
      <c r="ED69" s="258">
        <f>IFERROR(VLOOKUP(A69,CFR20212022_BenchMarkDataReport!$B$4:$CL$90,37,0),0)</f>
        <v>3681.62</v>
      </c>
      <c r="EE69" s="258">
        <f>IFERROR(VLOOKUP(A69,CFR20212022_BenchMarkDataReport!$B$4:$CL$90,38,0),0)</f>
        <v>23046.26</v>
      </c>
      <c r="EF69" s="258">
        <f>IFERROR(VLOOKUP(A69,CFR20212022_BenchMarkDataReport!$B$4:$CL$90,39,0),0)</f>
        <v>86092.5</v>
      </c>
      <c r="EG69" s="227"/>
    </row>
    <row r="70" spans="1:137" s="5" customFormat="1">
      <c r="A70" s="147">
        <v>3313</v>
      </c>
      <c r="B70" s="298">
        <v>10094</v>
      </c>
      <c r="C70" s="147" t="s">
        <v>97</v>
      </c>
      <c r="D70" s="258">
        <f>IFERROR(VLOOKUP(A70,CFR20212022_BenchMarkDataReport!$B$4:$CL$90,19,0),0)</f>
        <v>1042288.68</v>
      </c>
      <c r="E70" s="258">
        <f>IFERROR(VLOOKUP(A70,CFR20212022_BenchMarkDataReport!$B$4:$CL$90,20,0),0)</f>
        <v>0</v>
      </c>
      <c r="F70" s="258">
        <f>IFERROR(VLOOKUP(A70,CFR20212022_BenchMarkDataReport!$B$4:$CL$90,21,0),0)</f>
        <v>41345.760000000002</v>
      </c>
      <c r="G70" s="258">
        <f>IFERROR(VLOOKUP(A70,CFR20212022_BenchMarkDataReport!$B$4:$CL$90,22,0),0)</f>
        <v>0</v>
      </c>
      <c r="H70" s="258">
        <f>IFERROR(VLOOKUP(A70,CFR20212022_BenchMarkDataReport!$B$4:$CL$90,23,0),0)</f>
        <v>71874.83</v>
      </c>
      <c r="I70" s="258">
        <f>IFERROR(VLOOKUP(A70,CFR20212022_BenchMarkDataReport!$B$4:$CL$90,24,0),0)</f>
        <v>0</v>
      </c>
      <c r="J70" s="258">
        <f>IFERROR(VLOOKUP(A70,CFR20212022_BenchMarkDataReport!$B$4:$CL$90,25,0),0)</f>
        <v>3475</v>
      </c>
      <c r="K70" s="258">
        <f>IFERROR(VLOOKUP(A70,CFR20212022_BenchMarkDataReport!$B$4:$CL$90,26,0),0)</f>
        <v>365.65</v>
      </c>
      <c r="L70" s="258">
        <f>IFERROR(VLOOKUP(A70,CFR20212022_BenchMarkDataReport!$B$4:$CL$90,27,0),0)</f>
        <v>12242.52</v>
      </c>
      <c r="M70" s="258">
        <f>IFERROR(VLOOKUP(A70,CFR20212022_BenchMarkDataReport!$B$4:$CL$90,28,0),0)</f>
        <v>16340.96</v>
      </c>
      <c r="N70" s="258">
        <f>IFERROR(VLOOKUP(A70,CFR20212022_BenchMarkDataReport!$B$4:$CL$90,29,0),0)</f>
        <v>4000</v>
      </c>
      <c r="O70" s="258">
        <f>IFERROR(VLOOKUP(A70,CFR20212022_BenchMarkDataReport!$B$4:$CL$90,30,0),0)</f>
        <v>0</v>
      </c>
      <c r="P70" s="258">
        <f>IFERROR(VLOOKUP(A70,CFR20212022_BenchMarkDataReport!$B$4:$CL$90,31,0),0)</f>
        <v>7579.52</v>
      </c>
      <c r="Q70" s="258">
        <f>IFERROR(VLOOKUP(A70,CFR20212022_BenchMarkDataReport!$B$4:$CL$90,32,0),0)</f>
        <v>9478.2199999999993</v>
      </c>
      <c r="R70" s="258">
        <f>IFERROR(VLOOKUP(A70,CFR20212022_BenchMarkDataReport!$B$4:$CL$90,33,0),0)</f>
        <v>0</v>
      </c>
      <c r="S70" s="258">
        <f>IFERROR(VLOOKUP(A70,CFR20212022_BenchMarkDataReport!$B$4:$CL$90,34,0),0)</f>
        <v>0</v>
      </c>
      <c r="T70" s="258">
        <f>IFERROR(VLOOKUP(A70,CFR20212022_BenchMarkDataReport!$B$4:$CL$90,35,0),0)</f>
        <v>0</v>
      </c>
      <c r="U70" s="258">
        <f t="shared" si="152"/>
        <v>50799.59</v>
      </c>
      <c r="V70" s="258">
        <f>IFERROR(VLOOKUP(A70,CFR20212022_BenchMarkDataReport!$B$4:$CL$90,40,0),0)</f>
        <v>555488.9</v>
      </c>
      <c r="W70" s="258">
        <f>IFERROR(VLOOKUP(A70,CFR20212022_BenchMarkDataReport!$B$4:$CL$90,41,0),0)</f>
        <v>30889.43</v>
      </c>
      <c r="X70" s="258">
        <f>IFERROR(VLOOKUP(A70,CFR20212022_BenchMarkDataReport!$B$4:$CL$90,42,0),0)</f>
        <v>239323.39</v>
      </c>
      <c r="Y70" s="258">
        <f>IFERROR(VLOOKUP(A70,CFR20212022_BenchMarkDataReport!$B$4:$CL$90,43,0),0)</f>
        <v>32915.14</v>
      </c>
      <c r="Z70" s="258">
        <f>IFERROR(VLOOKUP(A70,CFR20212022_BenchMarkDataReport!$B$4:$CL$90,44,0),0)</f>
        <v>58044.56</v>
      </c>
      <c r="AA70" s="258">
        <f>IFERROR(VLOOKUP(A70,CFR20212022_BenchMarkDataReport!$B$4:$CL$90,45,0),0)</f>
        <v>0</v>
      </c>
      <c r="AB70" s="258">
        <f>IFERROR(VLOOKUP(A70,CFR20212022_BenchMarkDataReport!$B$4:$CL$90,46,0),0)</f>
        <v>12721.34</v>
      </c>
      <c r="AC70" s="258">
        <f>IFERROR(VLOOKUP(A70,CFR20212022_BenchMarkDataReport!$B$4:$CL$90,47,0),0)</f>
        <v>10690.17</v>
      </c>
      <c r="AD70" s="258">
        <f>IFERROR(VLOOKUP(A70,CFR20212022_BenchMarkDataReport!$B$4:$CL$90,48,0),0)</f>
        <v>4212.8599999999997</v>
      </c>
      <c r="AE70" s="258">
        <f>IFERROR(VLOOKUP(A70,CFR20212022_BenchMarkDataReport!$B$4:$CL$90,49,0),0)</f>
        <v>13435.87</v>
      </c>
      <c r="AF70" s="258">
        <f>IFERROR(VLOOKUP(A70,CFR20212022_BenchMarkDataReport!$B$4:$CL$90,50,0),0)</f>
        <v>0</v>
      </c>
      <c r="AG70" s="258">
        <f>IFERROR(VLOOKUP(A70,CFR20212022_BenchMarkDataReport!$B$4:$CL$90,51,0),0)</f>
        <v>13157.84</v>
      </c>
      <c r="AH70" s="258">
        <f>IFERROR(VLOOKUP(A70,CFR20212022_BenchMarkDataReport!$B$4:$CL$90,52,0),0)</f>
        <v>8659.59</v>
      </c>
      <c r="AI70" s="258">
        <f>IFERROR(VLOOKUP(A70,CFR20212022_BenchMarkDataReport!$B$4:$CL$90,53,0),0)</f>
        <v>20503.75</v>
      </c>
      <c r="AJ70" s="258">
        <f>IFERROR(VLOOKUP(A70,CFR20212022_BenchMarkDataReport!$B$4:$CL$90,54,0),0)</f>
        <v>2330.6799999999998</v>
      </c>
      <c r="AK70" s="258">
        <f>IFERROR(VLOOKUP(A70,CFR20212022_BenchMarkDataReport!$B$4:$CL$90,55,0),0)</f>
        <v>12131.94</v>
      </c>
      <c r="AL70" s="258">
        <f>IFERROR(VLOOKUP(A70,CFR20212022_BenchMarkDataReport!$B$4:$CL$90,56,0),0)</f>
        <v>3328</v>
      </c>
      <c r="AM70" s="258">
        <f>IFERROR(VLOOKUP(A70,CFR20212022_BenchMarkDataReport!$B$4:$CL$90,57,0),0)</f>
        <v>7645.96</v>
      </c>
      <c r="AN70" s="258">
        <f>IFERROR(VLOOKUP(A70,CFR20212022_BenchMarkDataReport!$B$4:$CL$90,58,0),0)</f>
        <v>41926.44</v>
      </c>
      <c r="AO70" s="258">
        <f>IFERROR(VLOOKUP(A70,CFR20212022_BenchMarkDataReport!$B$4:$CL$90,59,0),0)</f>
        <v>7995.01</v>
      </c>
      <c r="AP70" s="258">
        <f>IFERROR(VLOOKUP(A70,CFR20212022_BenchMarkDataReport!$B$4:$CL$90,60,0),0)</f>
        <v>0</v>
      </c>
      <c r="AQ70" s="258">
        <f>IFERROR(VLOOKUP(A70,CFR20212022_BenchMarkDataReport!$B$4:$CL$90,61,0),0)</f>
        <v>8371.42</v>
      </c>
      <c r="AR70" s="258">
        <f>IFERROR(VLOOKUP(A70,CFR20212022_BenchMarkDataReport!$B$4:$CL$90,62,0),0)</f>
        <v>9280.52</v>
      </c>
      <c r="AS70" s="258">
        <f>IFERROR(VLOOKUP(A70,CFR20212022_BenchMarkDataReport!$B$4:$CL$90,63,0),0)</f>
        <v>5900.58</v>
      </c>
      <c r="AT70" s="258">
        <f>IFERROR(VLOOKUP(A70,CFR20212022_BenchMarkDataReport!$B$4:$CL$90,64,0),0)</f>
        <v>49606.42</v>
      </c>
      <c r="AU70" s="258">
        <f>IFERROR(VLOOKUP(A70,CFR20212022_BenchMarkDataReport!$B$4:$CL$90,65,0),0)</f>
        <v>25454.5</v>
      </c>
      <c r="AV70" s="258">
        <f>IFERROR(VLOOKUP(A70,CFR20212022_BenchMarkDataReport!$B$4:$CL$90,66,0),0)</f>
        <v>49630.51</v>
      </c>
      <c r="AW70" s="258">
        <f>IFERROR(VLOOKUP(A70,CFR20212022_BenchMarkDataReport!$B$4:$CL$90,67,0),0)</f>
        <v>29333.52</v>
      </c>
      <c r="AX70" s="258">
        <f>IFERROR(VLOOKUP(A70,CFR20212022_BenchMarkDataReport!$B$4:$CL$90,68,0),0)</f>
        <v>0</v>
      </c>
      <c r="AY70" s="258">
        <f>IFERROR(VLOOKUP(A70,CFR20212022_BenchMarkDataReport!$B$4:$CL$90,69,0),0)</f>
        <v>0</v>
      </c>
      <c r="AZ70" s="258">
        <f>IFERROR(VLOOKUP(A70,CFR20212022_BenchMarkDataReport!$B$4:$CL$90,70,0),0)</f>
        <v>0</v>
      </c>
      <c r="BA70" s="258">
        <f>IFERROR(VLOOKUP(A70,CFR20212022_BenchMarkDataReport!$B$4:$CL$90,71,0),0)</f>
        <v>0</v>
      </c>
      <c r="BB70" s="258">
        <f>IFERROR(VLOOKUP(A70,CFR20212022_BenchMarkDataReport!$B$4:$CL$90,72,0),0)</f>
        <v>0</v>
      </c>
      <c r="BC70" s="259">
        <f t="shared" si="84"/>
        <v>1259790.73</v>
      </c>
      <c r="BD70" s="260">
        <f t="shared" si="154"/>
        <v>1252978.3400000001</v>
      </c>
      <c r="BE70" s="300">
        <f t="shared" si="155"/>
        <v>6812.3899999998976</v>
      </c>
      <c r="BF70" s="258">
        <f>IFERROR(VLOOKUP(A70,CFR20212022_BenchMarkDataReport!$B$4:$CL$90,16,0),0)</f>
        <v>139850.09</v>
      </c>
      <c r="BG70" s="300">
        <f t="shared" si="156"/>
        <v>146662.47999999989</v>
      </c>
      <c r="BH70" s="261">
        <f>IFERROR(VLOOKUP(A70,'Pupil Nos BenchmarkData 21-22'!$A$6:$E$94,5,0),0)</f>
        <v>211.5</v>
      </c>
      <c r="BI70" s="260">
        <f t="shared" si="153"/>
        <v>1083634.44</v>
      </c>
      <c r="BJ70" s="227" t="s">
        <v>183</v>
      </c>
      <c r="BK70" s="262">
        <f t="shared" si="85"/>
        <v>0.82735065053225154</v>
      </c>
      <c r="BL70" s="263">
        <f t="shared" si="86"/>
        <v>4928.078865248227</v>
      </c>
      <c r="BM70" s="264">
        <f t="shared" si="87"/>
        <v>0</v>
      </c>
      <c r="BN70" s="265">
        <f t="shared" si="88"/>
        <v>0</v>
      </c>
      <c r="BO70" s="262">
        <f t="shared" si="89"/>
        <v>3.2819546147954272E-2</v>
      </c>
      <c r="BP70" s="263">
        <f t="shared" si="90"/>
        <v>195.48822695035463</v>
      </c>
      <c r="BQ70" s="264">
        <f t="shared" si="91"/>
        <v>0</v>
      </c>
      <c r="BR70" s="265">
        <f t="shared" si="92"/>
        <v>0</v>
      </c>
      <c r="BS70" s="262">
        <f t="shared" si="93"/>
        <v>5.7052991650446583E-2</v>
      </c>
      <c r="BT70" s="263">
        <f t="shared" si="94"/>
        <v>339.83371158392436</v>
      </c>
      <c r="BU70" s="264">
        <f t="shared" si="95"/>
        <v>0</v>
      </c>
      <c r="BV70" s="265">
        <f t="shared" si="96"/>
        <v>0</v>
      </c>
      <c r="BW70" s="262">
        <f t="shared" si="97"/>
        <v>2.7583946422593537E-3</v>
      </c>
      <c r="BX70" s="263">
        <f t="shared" si="98"/>
        <v>16.430260047281322</v>
      </c>
      <c r="BY70" s="264">
        <f t="shared" si="99"/>
        <v>1.0008146353005789E-2</v>
      </c>
      <c r="BZ70" s="266">
        <f t="shared" si="100"/>
        <v>59.613096926713951</v>
      </c>
      <c r="CA70" s="267">
        <f t="shared" si="101"/>
        <v>6.0164913263014725E-3</v>
      </c>
      <c r="CB70" s="268">
        <f t="shared" si="102"/>
        <v>35.836973995271869</v>
      </c>
      <c r="CC70" s="264">
        <f t="shared" si="103"/>
        <v>7.5236464075267477E-3</v>
      </c>
      <c r="CD70" s="265">
        <f t="shared" si="104"/>
        <v>44.814278959810871</v>
      </c>
      <c r="CE70" s="269">
        <f t="shared" si="105"/>
        <v>0.5646118353344326</v>
      </c>
      <c r="CF70" s="267">
        <f t="shared" si="106"/>
        <v>0.48566227344759083</v>
      </c>
      <c r="CG70" s="267">
        <f t="shared" si="107"/>
        <v>0.48830279859426784</v>
      </c>
      <c r="CH70" s="268">
        <f t="shared" si="108"/>
        <v>2892.8266193853433</v>
      </c>
      <c r="CI70" s="264">
        <f t="shared" si="109"/>
        <v>0.22085251369456294</v>
      </c>
      <c r="CJ70" s="270">
        <f t="shared" si="110"/>
        <v>0.18997075014197001</v>
      </c>
      <c r="CK70" s="270">
        <f t="shared" si="111"/>
        <v>0.1910036130393124</v>
      </c>
      <c r="CL70" s="271">
        <f t="shared" si="112"/>
        <v>1131.5526713947991</v>
      </c>
      <c r="CM70" s="269">
        <f t="shared" si="113"/>
        <v>3.0374763651845545E-2</v>
      </c>
      <c r="CN70" s="267">
        <f t="shared" si="114"/>
        <v>2.6127466424522745E-2</v>
      </c>
      <c r="CO70" s="267">
        <f t="shared" si="115"/>
        <v>2.626952034941003E-2</v>
      </c>
      <c r="CP70" s="268">
        <f t="shared" si="116"/>
        <v>155.62713947990542</v>
      </c>
      <c r="CQ70" s="264">
        <f t="shared" si="117"/>
        <v>5.3564705824595236E-2</v>
      </c>
      <c r="CR70" s="270">
        <f t="shared" si="118"/>
        <v>4.6074763544259448E-2</v>
      </c>
      <c r="CS70" s="270">
        <f t="shared" si="119"/>
        <v>4.6325270076097241E-2</v>
      </c>
      <c r="CT70" s="265">
        <f t="shared" si="120"/>
        <v>274.44236406619382</v>
      </c>
      <c r="CU70" s="269">
        <f t="shared" si="121"/>
        <v>0.85765339831760989</v>
      </c>
      <c r="CV70" s="267">
        <f t="shared" si="122"/>
        <v>0.73772789231430536</v>
      </c>
      <c r="CW70" s="267">
        <f t="shared" si="123"/>
        <v>0.74173888752139172</v>
      </c>
      <c r="CX70" s="268">
        <f t="shared" si="124"/>
        <v>4394.2447281323884</v>
      </c>
      <c r="CY70" s="264">
        <f t="shared" si="125"/>
        <v>1.2142323568084456E-2</v>
      </c>
      <c r="CZ70" s="270">
        <f t="shared" si="126"/>
        <v>1.0501250963364617E-2</v>
      </c>
      <c r="DA70" s="265">
        <f t="shared" si="127"/>
        <v>62.212009456264774</v>
      </c>
      <c r="DB70" s="269">
        <f t="shared" si="128"/>
        <v>1.8601119633081605E-3</v>
      </c>
      <c r="DC70" s="268">
        <f t="shared" si="129"/>
        <v>11.019763593380613</v>
      </c>
      <c r="DD70" s="264">
        <f t="shared" si="130"/>
        <v>1.1195602088837266E-2</v>
      </c>
      <c r="DE70" s="270">
        <f t="shared" si="131"/>
        <v>9.6824818216729898E-3</v>
      </c>
      <c r="DF70" s="265">
        <f t="shared" si="132"/>
        <v>57.361418439716317</v>
      </c>
      <c r="DG70" s="269">
        <f t="shared" si="133"/>
        <v>7.0558480957840361E-3</v>
      </c>
      <c r="DH70" s="267">
        <f t="shared" si="134"/>
        <v>6.1022283912745045E-3</v>
      </c>
      <c r="DI70" s="272">
        <f t="shared" si="135"/>
        <v>36.151111111111113</v>
      </c>
      <c r="DJ70" s="264">
        <f t="shared" si="136"/>
        <v>3.8690575393672433E-2</v>
      </c>
      <c r="DK70" s="270">
        <f t="shared" si="137"/>
        <v>3.3280479846045541E-2</v>
      </c>
      <c r="DL70" s="270">
        <f t="shared" si="138"/>
        <v>3.3461424400999619E-2</v>
      </c>
      <c r="DM70" s="265">
        <f t="shared" si="139"/>
        <v>198.23375886524823</v>
      </c>
      <c r="DN70" s="269">
        <f t="shared" si="140"/>
        <v>7.7253174050097564E-3</v>
      </c>
      <c r="DO70" s="267">
        <f t="shared" si="141"/>
        <v>6.6812168516815701E-3</v>
      </c>
      <c r="DP70" s="268">
        <f t="shared" si="142"/>
        <v>39.58118203309693</v>
      </c>
      <c r="DQ70" s="264">
        <f t="shared" si="143"/>
        <v>4.5800048584650012E-2</v>
      </c>
      <c r="DR70" s="270">
        <f t="shared" si="144"/>
        <v>3.961003028990908E-2</v>
      </c>
      <c r="DS70" s="265">
        <f t="shared" si="145"/>
        <v>234.65962174940898</v>
      </c>
      <c r="DT70" s="269">
        <f t="shared" si="146"/>
        <v>3.9590804099614359E-2</v>
      </c>
      <c r="DU70" s="268">
        <f t="shared" si="147"/>
        <v>234.54572104018911</v>
      </c>
      <c r="DV70" s="264">
        <f t="shared" si="157"/>
        <v>1.6364009931727951E-2</v>
      </c>
      <c r="DW70" s="265">
        <f t="shared" si="158"/>
        <v>96.944444444444443</v>
      </c>
      <c r="DX70" s="264">
        <f t="shared" si="148"/>
        <v>4.6141021505370392E-5</v>
      </c>
      <c r="DY70" s="270">
        <f t="shared" si="149"/>
        <v>3.9689131543300055E-5</v>
      </c>
      <c r="DZ70" s="270">
        <f t="shared" si="150"/>
        <v>3.9904919665251352E-5</v>
      </c>
      <c r="EA70" s="265">
        <f t="shared" si="151"/>
        <v>0.2364066193853428</v>
      </c>
      <c r="EB70" s="273">
        <f>IFERROR(VLOOKUP(A70,'BARNET SCHS PUPIL PREMIUM Nos'!$E$31:$V$117,17,0),0)</f>
        <v>50</v>
      </c>
      <c r="EC70" s="258">
        <f>IFERROR(VLOOKUP(A70,CFR20212022_BenchMarkDataReport!$B$4:$CL$90,36,0),0)</f>
        <v>0</v>
      </c>
      <c r="ED70" s="258">
        <f>IFERROR(VLOOKUP(A70,CFR20212022_BenchMarkDataReport!$B$4:$CL$90,37,0),0)</f>
        <v>442.8</v>
      </c>
      <c r="EE70" s="258">
        <f>IFERROR(VLOOKUP(A70,CFR20212022_BenchMarkDataReport!$B$4:$CL$90,38,0),0)</f>
        <v>13395.62</v>
      </c>
      <c r="EF70" s="258">
        <f>IFERROR(VLOOKUP(A70,CFR20212022_BenchMarkDataReport!$B$4:$CL$90,39,0),0)</f>
        <v>36961.17</v>
      </c>
      <c r="EG70" s="227"/>
    </row>
    <row r="71" spans="1:137" s="5" customFormat="1">
      <c r="A71" s="147">
        <v>3314</v>
      </c>
      <c r="B71" s="298">
        <v>10095</v>
      </c>
      <c r="C71" s="147" t="s">
        <v>98</v>
      </c>
      <c r="D71" s="258">
        <f>IFERROR(VLOOKUP(A71,CFR20212022_BenchMarkDataReport!$B$4:$CL$90,19,0),0)</f>
        <v>954741.96</v>
      </c>
      <c r="E71" s="258">
        <f>IFERROR(VLOOKUP(A71,CFR20212022_BenchMarkDataReport!$B$4:$CL$90,20,0),0)</f>
        <v>0</v>
      </c>
      <c r="F71" s="258">
        <f>IFERROR(VLOOKUP(A71,CFR20212022_BenchMarkDataReport!$B$4:$CL$90,21,0),0)</f>
        <v>46929.41</v>
      </c>
      <c r="G71" s="258">
        <f>IFERROR(VLOOKUP(A71,CFR20212022_BenchMarkDataReport!$B$4:$CL$90,22,0),0)</f>
        <v>0</v>
      </c>
      <c r="H71" s="258">
        <f>IFERROR(VLOOKUP(A71,CFR20212022_BenchMarkDataReport!$B$4:$CL$90,23,0),0)</f>
        <v>51385.05</v>
      </c>
      <c r="I71" s="258">
        <f>IFERROR(VLOOKUP(A71,CFR20212022_BenchMarkDataReport!$B$4:$CL$90,24,0),0)</f>
        <v>5000</v>
      </c>
      <c r="J71" s="258">
        <f>IFERROR(VLOOKUP(A71,CFR20212022_BenchMarkDataReport!$B$4:$CL$90,25,0),0)</f>
        <v>87672.84</v>
      </c>
      <c r="K71" s="258">
        <f>IFERROR(VLOOKUP(A71,CFR20212022_BenchMarkDataReport!$B$4:$CL$90,26,0),0)</f>
        <v>0</v>
      </c>
      <c r="L71" s="258">
        <f>IFERROR(VLOOKUP(A71,CFR20212022_BenchMarkDataReport!$B$4:$CL$90,27,0),0)</f>
        <v>38106.629999999997</v>
      </c>
      <c r="M71" s="258">
        <f>IFERROR(VLOOKUP(A71,CFR20212022_BenchMarkDataReport!$B$4:$CL$90,28,0),0)</f>
        <v>19559.169999999998</v>
      </c>
      <c r="N71" s="258">
        <f>IFERROR(VLOOKUP(A71,CFR20212022_BenchMarkDataReport!$B$4:$CL$90,29,0),0)</f>
        <v>0</v>
      </c>
      <c r="O71" s="258">
        <f>IFERROR(VLOOKUP(A71,CFR20212022_BenchMarkDataReport!$B$4:$CL$90,30,0),0)</f>
        <v>0</v>
      </c>
      <c r="P71" s="258">
        <f>IFERROR(VLOOKUP(A71,CFR20212022_BenchMarkDataReport!$B$4:$CL$90,31,0),0)</f>
        <v>16012.95</v>
      </c>
      <c r="Q71" s="258">
        <f>IFERROR(VLOOKUP(A71,CFR20212022_BenchMarkDataReport!$B$4:$CL$90,32,0),0)</f>
        <v>32280.48</v>
      </c>
      <c r="R71" s="258">
        <f>IFERROR(VLOOKUP(A71,CFR20212022_BenchMarkDataReport!$B$4:$CL$90,33,0),0)</f>
        <v>0</v>
      </c>
      <c r="S71" s="258">
        <f>IFERROR(VLOOKUP(A71,CFR20212022_BenchMarkDataReport!$B$4:$CL$90,34,0),0)</f>
        <v>0</v>
      </c>
      <c r="T71" s="258">
        <f>IFERROR(VLOOKUP(A71,CFR20212022_BenchMarkDataReport!$B$4:$CL$90,35,0),0)</f>
        <v>0</v>
      </c>
      <c r="U71" s="258">
        <f t="shared" si="152"/>
        <v>59362.33</v>
      </c>
      <c r="V71" s="258">
        <f>IFERROR(VLOOKUP(A71,CFR20212022_BenchMarkDataReport!$B$4:$CL$90,40,0),0)</f>
        <v>624593.66</v>
      </c>
      <c r="W71" s="258">
        <f>IFERROR(VLOOKUP(A71,CFR20212022_BenchMarkDataReport!$B$4:$CL$90,41,0),0)</f>
        <v>3110.18</v>
      </c>
      <c r="X71" s="258">
        <f>IFERROR(VLOOKUP(A71,CFR20212022_BenchMarkDataReport!$B$4:$CL$90,42,0),0)</f>
        <v>182084.31</v>
      </c>
      <c r="Y71" s="258">
        <f>IFERROR(VLOOKUP(A71,CFR20212022_BenchMarkDataReport!$B$4:$CL$90,43,0),0)</f>
        <v>34786.559999999998</v>
      </c>
      <c r="Z71" s="258">
        <f>IFERROR(VLOOKUP(A71,CFR20212022_BenchMarkDataReport!$B$4:$CL$90,44,0),0)</f>
        <v>53578.400000000001</v>
      </c>
      <c r="AA71" s="258">
        <f>IFERROR(VLOOKUP(A71,CFR20212022_BenchMarkDataReport!$B$4:$CL$90,45,0),0)</f>
        <v>0</v>
      </c>
      <c r="AB71" s="258">
        <f>IFERROR(VLOOKUP(A71,CFR20212022_BenchMarkDataReport!$B$4:$CL$90,46,0),0)</f>
        <v>48725.02</v>
      </c>
      <c r="AC71" s="258">
        <f>IFERROR(VLOOKUP(A71,CFR20212022_BenchMarkDataReport!$B$4:$CL$90,47,0),0)</f>
        <v>3569.47</v>
      </c>
      <c r="AD71" s="258">
        <f>IFERROR(VLOOKUP(A71,CFR20212022_BenchMarkDataReport!$B$4:$CL$90,48,0),0)</f>
        <v>7634.74</v>
      </c>
      <c r="AE71" s="258">
        <f>IFERROR(VLOOKUP(A71,CFR20212022_BenchMarkDataReport!$B$4:$CL$90,49,0),0)</f>
        <v>7183.35</v>
      </c>
      <c r="AF71" s="258">
        <f>IFERROR(VLOOKUP(A71,CFR20212022_BenchMarkDataReport!$B$4:$CL$90,50,0),0)</f>
        <v>0</v>
      </c>
      <c r="AG71" s="258">
        <f>IFERROR(VLOOKUP(A71,CFR20212022_BenchMarkDataReport!$B$4:$CL$90,51,0),0)</f>
        <v>27739.53</v>
      </c>
      <c r="AH71" s="258">
        <f>IFERROR(VLOOKUP(A71,CFR20212022_BenchMarkDataReport!$B$4:$CL$90,52,0),0)</f>
        <v>1002.72</v>
      </c>
      <c r="AI71" s="258">
        <f>IFERROR(VLOOKUP(A71,CFR20212022_BenchMarkDataReport!$B$4:$CL$90,53,0),0)</f>
        <v>18721.38</v>
      </c>
      <c r="AJ71" s="258">
        <f>IFERROR(VLOOKUP(A71,CFR20212022_BenchMarkDataReport!$B$4:$CL$90,54,0),0)</f>
        <v>4168.12</v>
      </c>
      <c r="AK71" s="258">
        <f>IFERROR(VLOOKUP(A71,CFR20212022_BenchMarkDataReport!$B$4:$CL$90,55,0),0)</f>
        <v>27051.71</v>
      </c>
      <c r="AL71" s="258">
        <f>IFERROR(VLOOKUP(A71,CFR20212022_BenchMarkDataReport!$B$4:$CL$90,56,0),0)</f>
        <v>3068</v>
      </c>
      <c r="AM71" s="258">
        <f>IFERROR(VLOOKUP(A71,CFR20212022_BenchMarkDataReport!$B$4:$CL$90,57,0),0)</f>
        <v>7215.73</v>
      </c>
      <c r="AN71" s="258">
        <f>IFERROR(VLOOKUP(A71,CFR20212022_BenchMarkDataReport!$B$4:$CL$90,58,0),0)</f>
        <v>38961.46</v>
      </c>
      <c r="AO71" s="258">
        <f>IFERROR(VLOOKUP(A71,CFR20212022_BenchMarkDataReport!$B$4:$CL$90,59,0),0)</f>
        <v>20196.96</v>
      </c>
      <c r="AP71" s="258">
        <f>IFERROR(VLOOKUP(A71,CFR20212022_BenchMarkDataReport!$B$4:$CL$90,60,0),0)</f>
        <v>0</v>
      </c>
      <c r="AQ71" s="258">
        <f>IFERROR(VLOOKUP(A71,CFR20212022_BenchMarkDataReport!$B$4:$CL$90,61,0),0)</f>
        <v>16006.69</v>
      </c>
      <c r="AR71" s="258">
        <f>IFERROR(VLOOKUP(A71,CFR20212022_BenchMarkDataReport!$B$4:$CL$90,62,0),0)</f>
        <v>7966.06</v>
      </c>
      <c r="AS71" s="258">
        <f>IFERROR(VLOOKUP(A71,CFR20212022_BenchMarkDataReport!$B$4:$CL$90,63,0),0)</f>
        <v>12694.83</v>
      </c>
      <c r="AT71" s="258">
        <f>IFERROR(VLOOKUP(A71,CFR20212022_BenchMarkDataReport!$B$4:$CL$90,64,0),0)</f>
        <v>57345.22</v>
      </c>
      <c r="AU71" s="258">
        <f>IFERROR(VLOOKUP(A71,CFR20212022_BenchMarkDataReport!$B$4:$CL$90,65,0),0)</f>
        <v>11849</v>
      </c>
      <c r="AV71" s="258">
        <f>IFERROR(VLOOKUP(A71,CFR20212022_BenchMarkDataReport!$B$4:$CL$90,66,0),0)</f>
        <v>48989.35</v>
      </c>
      <c r="AW71" s="258">
        <f>IFERROR(VLOOKUP(A71,CFR20212022_BenchMarkDataReport!$B$4:$CL$90,67,0),0)</f>
        <v>35769.879999999997</v>
      </c>
      <c r="AX71" s="258">
        <f>IFERROR(VLOOKUP(A71,CFR20212022_BenchMarkDataReport!$B$4:$CL$90,68,0),0)</f>
        <v>0</v>
      </c>
      <c r="AY71" s="258">
        <f>IFERROR(VLOOKUP(A71,CFR20212022_BenchMarkDataReport!$B$4:$CL$90,69,0),0)</f>
        <v>0</v>
      </c>
      <c r="AZ71" s="258">
        <f>IFERROR(VLOOKUP(A71,CFR20212022_BenchMarkDataReport!$B$4:$CL$90,70,0),0)</f>
        <v>0</v>
      </c>
      <c r="BA71" s="258">
        <f>IFERROR(VLOOKUP(A71,CFR20212022_BenchMarkDataReport!$B$4:$CL$90,71,0),0)</f>
        <v>0</v>
      </c>
      <c r="BB71" s="258">
        <f>IFERROR(VLOOKUP(A71,CFR20212022_BenchMarkDataReport!$B$4:$CL$90,72,0),0)</f>
        <v>0</v>
      </c>
      <c r="BC71" s="259">
        <f t="shared" si="84"/>
        <v>1311050.8199999998</v>
      </c>
      <c r="BD71" s="260">
        <f t="shared" si="154"/>
        <v>1304012.33</v>
      </c>
      <c r="BE71" s="300">
        <f t="shared" si="155"/>
        <v>7038.4899999997579</v>
      </c>
      <c r="BF71" s="258">
        <f>IFERROR(VLOOKUP(A71,CFR20212022_BenchMarkDataReport!$B$4:$CL$90,16,0),0)</f>
        <v>24598</v>
      </c>
      <c r="BG71" s="300">
        <f t="shared" si="156"/>
        <v>31636.489999999758</v>
      </c>
      <c r="BH71" s="261">
        <f>IFERROR(VLOOKUP(A71,'Pupil Nos BenchmarkData 21-22'!$A$6:$E$94,5,0),0)</f>
        <v>207</v>
      </c>
      <c r="BI71" s="260">
        <f t="shared" si="153"/>
        <v>1001671.37</v>
      </c>
      <c r="BJ71" s="227" t="s">
        <v>183</v>
      </c>
      <c r="BK71" s="262">
        <f t="shared" si="85"/>
        <v>0.72822650764979502</v>
      </c>
      <c r="BL71" s="263">
        <f t="shared" si="86"/>
        <v>4612.28</v>
      </c>
      <c r="BM71" s="264">
        <f t="shared" si="87"/>
        <v>0</v>
      </c>
      <c r="BN71" s="265">
        <f t="shared" si="88"/>
        <v>0</v>
      </c>
      <c r="BO71" s="262">
        <f t="shared" si="89"/>
        <v>3.5795263832717035E-2</v>
      </c>
      <c r="BP71" s="263">
        <f t="shared" si="90"/>
        <v>226.71212560386476</v>
      </c>
      <c r="BQ71" s="264">
        <f t="shared" si="91"/>
        <v>0</v>
      </c>
      <c r="BR71" s="265">
        <f t="shared" si="92"/>
        <v>0</v>
      </c>
      <c r="BS71" s="262">
        <f t="shared" si="93"/>
        <v>3.9193789604586048E-2</v>
      </c>
      <c r="BT71" s="263">
        <f t="shared" si="94"/>
        <v>248.23695652173913</v>
      </c>
      <c r="BU71" s="264">
        <f t="shared" si="95"/>
        <v>3.8137346956542851E-3</v>
      </c>
      <c r="BV71" s="265">
        <f t="shared" si="96"/>
        <v>24.154589371980677</v>
      </c>
      <c r="BW71" s="262">
        <f t="shared" si="97"/>
        <v>6.6872190354909364E-2</v>
      </c>
      <c r="BX71" s="263">
        <f t="shared" si="98"/>
        <v>423.54028985507244</v>
      </c>
      <c r="BY71" s="264">
        <f t="shared" si="99"/>
        <v>2.9065715393092086E-2</v>
      </c>
      <c r="BZ71" s="266">
        <f t="shared" si="100"/>
        <v>184.08999999999997</v>
      </c>
      <c r="CA71" s="267">
        <f t="shared" si="101"/>
        <v>1.2213828598955458E-2</v>
      </c>
      <c r="CB71" s="268">
        <f t="shared" si="102"/>
        <v>77.357246376811602</v>
      </c>
      <c r="CC71" s="264">
        <f t="shared" si="103"/>
        <v>2.4621837313674847E-2</v>
      </c>
      <c r="CD71" s="265">
        <f t="shared" si="104"/>
        <v>155.94434782608695</v>
      </c>
      <c r="CE71" s="269">
        <f t="shared" si="105"/>
        <v>0.63848569416534295</v>
      </c>
      <c r="CF71" s="267">
        <f t="shared" si="106"/>
        <v>0.48781697112244676</v>
      </c>
      <c r="CG71" s="267">
        <f t="shared" si="107"/>
        <v>0.49044999444138693</v>
      </c>
      <c r="CH71" s="268">
        <f t="shared" si="108"/>
        <v>3089.6272463768119</v>
      </c>
      <c r="CI71" s="264">
        <f t="shared" si="109"/>
        <v>0.18178048754652937</v>
      </c>
      <c r="CJ71" s="270">
        <f t="shared" si="110"/>
        <v>0.1388842501162541</v>
      </c>
      <c r="CK71" s="270">
        <f t="shared" si="111"/>
        <v>0.13963388674400035</v>
      </c>
      <c r="CL71" s="271">
        <f t="shared" si="112"/>
        <v>879.63434782608692</v>
      </c>
      <c r="CM71" s="269">
        <f t="shared" si="113"/>
        <v>3.4728515800546436E-2</v>
      </c>
      <c r="CN71" s="267">
        <f t="shared" si="114"/>
        <v>2.6533342162891903E-2</v>
      </c>
      <c r="CO71" s="267">
        <f t="shared" si="115"/>
        <v>2.6676557575187956E-2</v>
      </c>
      <c r="CP71" s="268">
        <f t="shared" si="116"/>
        <v>168.05101449275361</v>
      </c>
      <c r="CQ71" s="264">
        <f t="shared" si="117"/>
        <v>5.3489000089919712E-2</v>
      </c>
      <c r="CR71" s="270">
        <f t="shared" si="118"/>
        <v>4.0866760603528708E-2</v>
      </c>
      <c r="CS71" s="270">
        <f t="shared" si="119"/>
        <v>4.1087341559109335E-2</v>
      </c>
      <c r="CT71" s="265">
        <f t="shared" si="120"/>
        <v>258.83285024154588</v>
      </c>
      <c r="CU71" s="269">
        <f t="shared" si="121"/>
        <v>0.9452981869692455</v>
      </c>
      <c r="CV71" s="267">
        <f t="shared" si="122"/>
        <v>0.72222839538744987</v>
      </c>
      <c r="CW71" s="267">
        <f t="shared" si="123"/>
        <v>0.72612666936975989</v>
      </c>
      <c r="CX71" s="268">
        <f t="shared" si="124"/>
        <v>4574.2904830917887</v>
      </c>
      <c r="CY71" s="264">
        <f t="shared" si="125"/>
        <v>2.7693244342203771E-2</v>
      </c>
      <c r="CZ71" s="270">
        <f t="shared" si="126"/>
        <v>2.127244456346513E-2</v>
      </c>
      <c r="DA71" s="265">
        <f t="shared" si="127"/>
        <v>134.00739130434783</v>
      </c>
      <c r="DB71" s="269">
        <f t="shared" si="128"/>
        <v>3.1963808194973124E-3</v>
      </c>
      <c r="DC71" s="268">
        <f t="shared" si="129"/>
        <v>20.135845410628018</v>
      </c>
      <c r="DD71" s="264">
        <f t="shared" si="130"/>
        <v>2.7006572025713382E-2</v>
      </c>
      <c r="DE71" s="270">
        <f t="shared" si="131"/>
        <v>2.0744980225762127E-2</v>
      </c>
      <c r="DF71" s="265">
        <f t="shared" si="132"/>
        <v>130.68458937198068</v>
      </c>
      <c r="DG71" s="269">
        <f t="shared" si="133"/>
        <v>7.2036899686970185E-3</v>
      </c>
      <c r="DH71" s="267">
        <f t="shared" si="134"/>
        <v>5.5334829541067295E-3</v>
      </c>
      <c r="DI71" s="272">
        <f t="shared" si="135"/>
        <v>34.858599033816425</v>
      </c>
      <c r="DJ71" s="264">
        <f t="shared" si="136"/>
        <v>3.889644964096358E-2</v>
      </c>
      <c r="DK71" s="270">
        <f t="shared" si="137"/>
        <v>2.9717734359069319E-2</v>
      </c>
      <c r="DL71" s="270">
        <f t="shared" si="138"/>
        <v>2.987813773202589E-2</v>
      </c>
      <c r="DM71" s="265">
        <f t="shared" si="139"/>
        <v>188.21961352657004</v>
      </c>
      <c r="DN71" s="269">
        <f t="shared" si="140"/>
        <v>1.5979981538256405E-2</v>
      </c>
      <c r="DO71" s="267">
        <f t="shared" si="141"/>
        <v>1.2274952952323694E-2</v>
      </c>
      <c r="DP71" s="268">
        <f t="shared" si="142"/>
        <v>77.327004830917872</v>
      </c>
      <c r="DQ71" s="264">
        <f t="shared" si="143"/>
        <v>4.89076072923997E-2</v>
      </c>
      <c r="DR71" s="270">
        <f t="shared" si="144"/>
        <v>3.7568164712062188E-2</v>
      </c>
      <c r="DS71" s="265">
        <f t="shared" si="145"/>
        <v>236.6635265700483</v>
      </c>
      <c r="DT71" s="269">
        <f t="shared" si="146"/>
        <v>4.3975979889699354E-2</v>
      </c>
      <c r="DU71" s="268">
        <f t="shared" si="147"/>
        <v>277.03004830917877</v>
      </c>
      <c r="DV71" s="264">
        <f t="shared" si="157"/>
        <v>1.435675075250247E-2</v>
      </c>
      <c r="DW71" s="265">
        <f t="shared" si="158"/>
        <v>90.441449275362331</v>
      </c>
      <c r="DX71" s="264">
        <f t="shared" si="148"/>
        <v>3.5939931077395172E-5</v>
      </c>
      <c r="DY71" s="270">
        <f t="shared" si="149"/>
        <v>2.7458889808710851E-5</v>
      </c>
      <c r="DZ71" s="270">
        <f t="shared" si="150"/>
        <v>2.7607100923654608E-5</v>
      </c>
      <c r="EA71" s="265">
        <f t="shared" si="151"/>
        <v>0.17391304347826086</v>
      </c>
      <c r="EB71" s="273">
        <f>IFERROR(VLOOKUP(A71,'BARNET SCHS PUPIL PREMIUM Nos'!$E$31:$V$117,17,0),0)</f>
        <v>36</v>
      </c>
      <c r="EC71" s="258">
        <f>IFERROR(VLOOKUP(A71,CFR20212022_BenchMarkDataReport!$B$4:$CL$90,36,0),0)</f>
        <v>0</v>
      </c>
      <c r="ED71" s="258">
        <f>IFERROR(VLOOKUP(A71,CFR20212022_BenchMarkDataReport!$B$4:$CL$90,37,0),0)</f>
        <v>2682.5</v>
      </c>
      <c r="EE71" s="258">
        <f>IFERROR(VLOOKUP(A71,CFR20212022_BenchMarkDataReport!$B$4:$CL$90,38,0),0)</f>
        <v>9222.5</v>
      </c>
      <c r="EF71" s="258">
        <f>IFERROR(VLOOKUP(A71,CFR20212022_BenchMarkDataReport!$B$4:$CL$90,39,0),0)</f>
        <v>47457.33</v>
      </c>
      <c r="EG71" s="227"/>
    </row>
    <row r="72" spans="1:137" s="5" customFormat="1">
      <c r="A72" s="147">
        <v>3507</v>
      </c>
      <c r="B72" s="298">
        <v>10108</v>
      </c>
      <c r="C72" s="147" t="s">
        <v>99</v>
      </c>
      <c r="D72" s="258">
        <f>IFERROR(VLOOKUP(A72,CFR20212022_BenchMarkDataReport!$B$4:$CL$90,19,0),0)</f>
        <v>830684</v>
      </c>
      <c r="E72" s="258">
        <f>IFERROR(VLOOKUP(A72,CFR20212022_BenchMarkDataReport!$B$4:$CL$90,20,0),0)</f>
        <v>0</v>
      </c>
      <c r="F72" s="258">
        <f>IFERROR(VLOOKUP(A72,CFR20212022_BenchMarkDataReport!$B$4:$CL$90,21,0),0)</f>
        <v>74976</v>
      </c>
      <c r="G72" s="258">
        <f>IFERROR(VLOOKUP(A72,CFR20212022_BenchMarkDataReport!$B$4:$CL$90,22,0),0)</f>
        <v>0</v>
      </c>
      <c r="H72" s="258">
        <f>IFERROR(VLOOKUP(A72,CFR20212022_BenchMarkDataReport!$B$4:$CL$90,23,0),0)</f>
        <v>33745</v>
      </c>
      <c r="I72" s="258">
        <f>IFERROR(VLOOKUP(A72,CFR20212022_BenchMarkDataReport!$B$4:$CL$90,24,0),0)</f>
        <v>0</v>
      </c>
      <c r="J72" s="258">
        <f>IFERROR(VLOOKUP(A72,CFR20212022_BenchMarkDataReport!$B$4:$CL$90,25,0),0)</f>
        <v>0</v>
      </c>
      <c r="K72" s="258">
        <f>IFERROR(VLOOKUP(A72,CFR20212022_BenchMarkDataReport!$B$4:$CL$90,26,0),0)</f>
        <v>370</v>
      </c>
      <c r="L72" s="258">
        <f>IFERROR(VLOOKUP(A72,CFR20212022_BenchMarkDataReport!$B$4:$CL$90,27,0),0)</f>
        <v>6509</v>
      </c>
      <c r="M72" s="258">
        <f>IFERROR(VLOOKUP(A72,CFR20212022_BenchMarkDataReport!$B$4:$CL$90,28,0),0)</f>
        <v>13218</v>
      </c>
      <c r="N72" s="258">
        <f>IFERROR(VLOOKUP(A72,CFR20212022_BenchMarkDataReport!$B$4:$CL$90,29,0),0)</f>
        <v>148</v>
      </c>
      <c r="O72" s="258">
        <f>IFERROR(VLOOKUP(A72,CFR20212022_BenchMarkDataReport!$B$4:$CL$90,30,0),0)</f>
        <v>0</v>
      </c>
      <c r="P72" s="258">
        <f>IFERROR(VLOOKUP(A72,CFR20212022_BenchMarkDataReport!$B$4:$CL$90,31,0),0)</f>
        <v>15053</v>
      </c>
      <c r="Q72" s="258">
        <f>IFERROR(VLOOKUP(A72,CFR20212022_BenchMarkDataReport!$B$4:$CL$90,32,0),0)</f>
        <v>10452</v>
      </c>
      <c r="R72" s="258">
        <f>IFERROR(VLOOKUP(A72,CFR20212022_BenchMarkDataReport!$B$4:$CL$90,33,0),0)</f>
        <v>0</v>
      </c>
      <c r="S72" s="258">
        <f>IFERROR(VLOOKUP(A72,CFR20212022_BenchMarkDataReport!$B$4:$CL$90,34,0),0)</f>
        <v>0</v>
      </c>
      <c r="T72" s="258">
        <f>IFERROR(VLOOKUP(A72,CFR20212022_BenchMarkDataReport!$B$4:$CL$90,35,0),0)</f>
        <v>0</v>
      </c>
      <c r="U72" s="258">
        <f t="shared" si="152"/>
        <v>49312</v>
      </c>
      <c r="V72" s="258">
        <f>IFERROR(VLOOKUP(A72,CFR20212022_BenchMarkDataReport!$B$4:$CL$90,40,0),0)</f>
        <v>580771</v>
      </c>
      <c r="W72" s="258">
        <f>IFERROR(VLOOKUP(A72,CFR20212022_BenchMarkDataReport!$B$4:$CL$90,41,0),0)</f>
        <v>0</v>
      </c>
      <c r="X72" s="258">
        <f>IFERROR(VLOOKUP(A72,CFR20212022_BenchMarkDataReport!$B$4:$CL$90,42,0),0)</f>
        <v>135946</v>
      </c>
      <c r="Y72" s="258">
        <f>IFERROR(VLOOKUP(A72,CFR20212022_BenchMarkDataReport!$B$4:$CL$90,43,0),0)</f>
        <v>32254</v>
      </c>
      <c r="Z72" s="258">
        <f>IFERROR(VLOOKUP(A72,CFR20212022_BenchMarkDataReport!$B$4:$CL$90,44,0),0)</f>
        <v>43207</v>
      </c>
      <c r="AA72" s="258">
        <f>IFERROR(VLOOKUP(A72,CFR20212022_BenchMarkDataReport!$B$4:$CL$90,45,0),0)</f>
        <v>0</v>
      </c>
      <c r="AB72" s="258">
        <f>IFERROR(VLOOKUP(A72,CFR20212022_BenchMarkDataReport!$B$4:$CL$90,46,0),0)</f>
        <v>18472</v>
      </c>
      <c r="AC72" s="258">
        <f>IFERROR(VLOOKUP(A72,CFR20212022_BenchMarkDataReport!$B$4:$CL$90,47,0),0)</f>
        <v>1428</v>
      </c>
      <c r="AD72" s="258">
        <f>IFERROR(VLOOKUP(A72,CFR20212022_BenchMarkDataReport!$B$4:$CL$90,48,0),0)</f>
        <v>3552</v>
      </c>
      <c r="AE72" s="258">
        <f>IFERROR(VLOOKUP(A72,CFR20212022_BenchMarkDataReport!$B$4:$CL$90,49,0),0)</f>
        <v>5634</v>
      </c>
      <c r="AF72" s="258">
        <f>IFERROR(VLOOKUP(A72,CFR20212022_BenchMarkDataReport!$B$4:$CL$90,50,0),0)</f>
        <v>0</v>
      </c>
      <c r="AG72" s="258">
        <f>IFERROR(VLOOKUP(A72,CFR20212022_BenchMarkDataReport!$B$4:$CL$90,51,0),0)</f>
        <v>15030</v>
      </c>
      <c r="AH72" s="258">
        <f>IFERROR(VLOOKUP(A72,CFR20212022_BenchMarkDataReport!$B$4:$CL$90,52,0),0)</f>
        <v>436</v>
      </c>
      <c r="AI72" s="258">
        <f>IFERROR(VLOOKUP(A72,CFR20212022_BenchMarkDataReport!$B$4:$CL$90,53,0),0)</f>
        <v>27242</v>
      </c>
      <c r="AJ72" s="258">
        <f>IFERROR(VLOOKUP(A72,CFR20212022_BenchMarkDataReport!$B$4:$CL$90,54,0),0)</f>
        <v>2810</v>
      </c>
      <c r="AK72" s="258">
        <f>IFERROR(VLOOKUP(A72,CFR20212022_BenchMarkDataReport!$B$4:$CL$90,55,0),0)</f>
        <v>14970</v>
      </c>
      <c r="AL72" s="258">
        <f>IFERROR(VLOOKUP(A72,CFR20212022_BenchMarkDataReport!$B$4:$CL$90,56,0),0)</f>
        <v>3804</v>
      </c>
      <c r="AM72" s="258">
        <f>IFERROR(VLOOKUP(A72,CFR20212022_BenchMarkDataReport!$B$4:$CL$90,57,0),0)</f>
        <v>6229</v>
      </c>
      <c r="AN72" s="258">
        <f>IFERROR(VLOOKUP(A72,CFR20212022_BenchMarkDataReport!$B$4:$CL$90,58,0),0)</f>
        <v>38054</v>
      </c>
      <c r="AO72" s="258">
        <f>IFERROR(VLOOKUP(A72,CFR20212022_BenchMarkDataReport!$B$4:$CL$90,59,0),0)</f>
        <v>14665</v>
      </c>
      <c r="AP72" s="258">
        <f>IFERROR(VLOOKUP(A72,CFR20212022_BenchMarkDataReport!$B$4:$CL$90,60,0),0)</f>
        <v>0</v>
      </c>
      <c r="AQ72" s="258">
        <f>IFERROR(VLOOKUP(A72,CFR20212022_BenchMarkDataReport!$B$4:$CL$90,61,0),0)</f>
        <v>14491</v>
      </c>
      <c r="AR72" s="258">
        <f>IFERROR(VLOOKUP(A72,CFR20212022_BenchMarkDataReport!$B$4:$CL$90,62,0),0)</f>
        <v>7173</v>
      </c>
      <c r="AS72" s="258">
        <f>IFERROR(VLOOKUP(A72,CFR20212022_BenchMarkDataReport!$B$4:$CL$90,63,0),0)</f>
        <v>3698</v>
      </c>
      <c r="AT72" s="258">
        <f>IFERROR(VLOOKUP(A72,CFR20212022_BenchMarkDataReport!$B$4:$CL$90,64,0),0)</f>
        <v>37121</v>
      </c>
      <c r="AU72" s="258">
        <f>IFERROR(VLOOKUP(A72,CFR20212022_BenchMarkDataReport!$B$4:$CL$90,65,0),0)</f>
        <v>48513</v>
      </c>
      <c r="AV72" s="258">
        <f>IFERROR(VLOOKUP(A72,CFR20212022_BenchMarkDataReport!$B$4:$CL$90,66,0),0)</f>
        <v>112589</v>
      </c>
      <c r="AW72" s="258">
        <f>IFERROR(VLOOKUP(A72,CFR20212022_BenchMarkDataReport!$B$4:$CL$90,67,0),0)</f>
        <v>40502</v>
      </c>
      <c r="AX72" s="258">
        <f>IFERROR(VLOOKUP(A72,CFR20212022_BenchMarkDataReport!$B$4:$CL$90,68,0),0)</f>
        <v>0</v>
      </c>
      <c r="AY72" s="258">
        <f>IFERROR(VLOOKUP(A72,CFR20212022_BenchMarkDataReport!$B$4:$CL$90,69,0),0)</f>
        <v>0</v>
      </c>
      <c r="AZ72" s="258">
        <f>IFERROR(VLOOKUP(A72,CFR20212022_BenchMarkDataReport!$B$4:$CL$90,70,0),0)</f>
        <v>0</v>
      </c>
      <c r="BA72" s="258">
        <f>IFERROR(VLOOKUP(A72,CFR20212022_BenchMarkDataReport!$B$4:$CL$90,71,0),0)</f>
        <v>0</v>
      </c>
      <c r="BB72" s="258">
        <f>IFERROR(VLOOKUP(A72,CFR20212022_BenchMarkDataReport!$B$4:$CL$90,72,0),0)</f>
        <v>0</v>
      </c>
      <c r="BC72" s="259">
        <f t="shared" ref="BC72:BC81" si="159">SUM(D72:R72)+U72</f>
        <v>1034467</v>
      </c>
      <c r="BD72" s="260">
        <f t="shared" si="154"/>
        <v>1208591</v>
      </c>
      <c r="BE72" s="300">
        <f t="shared" si="155"/>
        <v>-174124</v>
      </c>
      <c r="BF72" s="258">
        <f>IFERROR(VLOOKUP(A72,CFR20212022_BenchMarkDataReport!$B$4:$CL$90,16,0),0)</f>
        <v>37217.629999999997</v>
      </c>
      <c r="BG72" s="300">
        <f t="shared" si="156"/>
        <v>-136906.37</v>
      </c>
      <c r="BH72" s="261">
        <f>IFERROR(VLOOKUP(A72,'Pupil Nos BenchmarkData 21-22'!$A$6:$E$94,5,0),0)</f>
        <v>176</v>
      </c>
      <c r="BI72" s="260">
        <f t="shared" si="153"/>
        <v>905660</v>
      </c>
      <c r="BJ72" s="227" t="s">
        <v>183</v>
      </c>
      <c r="BK72" s="262">
        <f t="shared" ref="BK72:BK81" si="160">IFERROR(D72/BC72,0)</f>
        <v>0.80300676580306574</v>
      </c>
      <c r="BL72" s="263">
        <f t="shared" ref="BL72:BL81" si="161">D72/BH72</f>
        <v>4719.795454545455</v>
      </c>
      <c r="BM72" s="264">
        <f t="shared" ref="BM72:BM81" si="162">E72/BC72</f>
        <v>0</v>
      </c>
      <c r="BN72" s="265">
        <f t="shared" ref="BN72:BN81" si="163">E72/BH72</f>
        <v>0</v>
      </c>
      <c r="BO72" s="262">
        <f t="shared" ref="BO72:BO81" si="164">F72/BC72</f>
        <v>7.2477904080072153E-2</v>
      </c>
      <c r="BP72" s="263">
        <f t="shared" ref="BP72:BP81" si="165">F72/BH72</f>
        <v>426</v>
      </c>
      <c r="BQ72" s="264">
        <f t="shared" ref="BQ72:BQ81" si="166">G72/BC72</f>
        <v>0</v>
      </c>
      <c r="BR72" s="265">
        <f t="shared" ref="BR72:BR81" si="167">G72/BH72</f>
        <v>0</v>
      </c>
      <c r="BS72" s="262">
        <f t="shared" ref="BS72:BS81" si="168">H72/BC72</f>
        <v>3.262066358810866E-2</v>
      </c>
      <c r="BT72" s="263">
        <f t="shared" ref="BT72:BT81" si="169">H72/BH72</f>
        <v>191.73295454545453</v>
      </c>
      <c r="BU72" s="264">
        <f t="shared" ref="BU72:BU81" si="170">I72/BC72</f>
        <v>0</v>
      </c>
      <c r="BV72" s="265">
        <f t="shared" ref="BV72:BV81" si="171">I72/BH72</f>
        <v>0</v>
      </c>
      <c r="BW72" s="262">
        <f t="shared" ref="BW72:BW81" si="172">J72/BC72</f>
        <v>0</v>
      </c>
      <c r="BX72" s="263">
        <f t="shared" ref="BX72:BX81" si="173">J72/BH72</f>
        <v>0</v>
      </c>
      <c r="BY72" s="264">
        <f t="shared" ref="BY72:BY81" si="174">IFERROR((K72+L72)/BC72,0)</f>
        <v>6.6498012986397825E-3</v>
      </c>
      <c r="BZ72" s="266">
        <f t="shared" ref="BZ72:BZ81" si="175">IFERROR((K72+L72)/BH72,0)</f>
        <v>39.085227272727273</v>
      </c>
      <c r="CA72" s="267">
        <f t="shared" ref="CA72:CA81" si="176">P72/BC72</f>
        <v>1.4551455000497841E-2</v>
      </c>
      <c r="CB72" s="268">
        <f t="shared" ref="CB72:CB81" si="177">P72/BH72</f>
        <v>85.528409090909093</v>
      </c>
      <c r="CC72" s="264">
        <f t="shared" ref="CC72:CC81" si="178">Q72/BC72</f>
        <v>1.0103753913851288E-2</v>
      </c>
      <c r="CD72" s="265">
        <f t="shared" ref="CD72:CD81" si="179">Q72/BH72</f>
        <v>59.386363636363633</v>
      </c>
      <c r="CE72" s="269">
        <f t="shared" ref="CE72:CE81" si="180">(V72+W72+AU72)/BI72</f>
        <v>0.69483470618112753</v>
      </c>
      <c r="CF72" s="267">
        <f t="shared" ref="CF72:CF81" si="181">(V72+W72+AU72)/BC72</f>
        <v>0.60831713336433157</v>
      </c>
      <c r="CG72" s="267">
        <f t="shared" ref="CG72:CG81" si="182">(V72+W72+AU72)/BD72</f>
        <v>0.52067572901006209</v>
      </c>
      <c r="CH72" s="268">
        <f t="shared" ref="CH72:CH81" si="183">(V72+W72+AU72)/BH72</f>
        <v>3575.4772727272725</v>
      </c>
      <c r="CI72" s="264">
        <f t="shared" ref="CI72:CI81" si="184">X72/BI72</f>
        <v>0.15010710421129342</v>
      </c>
      <c r="CJ72" s="270">
        <f t="shared" ref="CJ72:CJ81" si="185">X72/BC72</f>
        <v>0.131416468577538</v>
      </c>
      <c r="CK72" s="270">
        <f t="shared" ref="CK72:CK81" si="186">X72/BD72</f>
        <v>0.11248304844235973</v>
      </c>
      <c r="CL72" s="271">
        <f t="shared" ref="CL72:CL81" si="187">X72/BH72</f>
        <v>772.4204545454545</v>
      </c>
      <c r="CM72" s="269">
        <f t="shared" ref="CM72:CM81" si="188">Y72/BI72</f>
        <v>3.5613806505752708E-2</v>
      </c>
      <c r="CN72" s="267">
        <f t="shared" ref="CN72:CN81" si="189">Y72/BC72</f>
        <v>3.117934163197086E-2</v>
      </c>
      <c r="CO72" s="267">
        <f t="shared" ref="CO72:CO81" si="190">Y72/BD72</f>
        <v>2.6687274685977307E-2</v>
      </c>
      <c r="CP72" s="268">
        <f t="shared" ref="CP72:CP81" si="191">Y72/BH72</f>
        <v>183.26136363636363</v>
      </c>
      <c r="CQ72" s="264">
        <f t="shared" ref="CQ72:CQ81" si="192">Z72/BI72</f>
        <v>4.7707749044895435E-2</v>
      </c>
      <c r="CR72" s="270">
        <f t="shared" ref="CR72:CR81" si="193">Z72/BC72</f>
        <v>4.176740292343787E-2</v>
      </c>
      <c r="CS72" s="270">
        <f t="shared" ref="CS72:CS81" si="194">Z72/BD72</f>
        <v>3.574989388469714E-2</v>
      </c>
      <c r="CT72" s="265">
        <f t="shared" ref="CT72:CT81" si="195">Z72/BH72</f>
        <v>245.49431818181819</v>
      </c>
      <c r="CU72" s="269">
        <f t="shared" ref="CU72:CU81" si="196">(V72+W72+X72+Y72+Z72+AA72+AB72)/BI72</f>
        <v>0.89509308128878384</v>
      </c>
      <c r="CV72" s="267">
        <f t="shared" ref="CV72:CV81" si="197">(V72+W72+X72+Y72+Z72+AA72+AB72)/BC72</f>
        <v>0.78364027078679166</v>
      </c>
      <c r="CW72" s="267">
        <f t="shared" ref="CW72:CW81" si="198">(V72+W72+X72+Y72+Z72+AA72+AB72)/BD72</f>
        <v>0.67073972915568625</v>
      </c>
      <c r="CX72" s="268">
        <f t="shared" ref="CX72:CX81" si="199">(V72+W72+X72+Y72+Z72+AA72+AB72)/BH72</f>
        <v>4605.965909090909</v>
      </c>
      <c r="CY72" s="264">
        <f t="shared" ref="CY72:CY81" si="200">AG72/BI72</f>
        <v>1.6595631914846632E-2</v>
      </c>
      <c r="CZ72" s="270">
        <f t="shared" ref="CZ72:CZ81" si="201">AG72/BD72</f>
        <v>1.2435968826509547E-2</v>
      </c>
      <c r="DA72" s="265">
        <f t="shared" ref="DA72:DA81" si="202">AG72/BH72</f>
        <v>85.397727272727266</v>
      </c>
      <c r="DB72" s="269">
        <f t="shared" ref="DB72:DB81" si="203">AJ72/BD72</f>
        <v>2.3250214505982588E-3</v>
      </c>
      <c r="DC72" s="268">
        <f t="shared" ref="DC72:DC81" si="204">AJ72/BH72</f>
        <v>15.965909090909092</v>
      </c>
      <c r="DD72" s="264">
        <f t="shared" ref="DD72:DD81" si="205">AK72/BI72</f>
        <v>1.6529381887242452E-2</v>
      </c>
      <c r="DE72" s="270">
        <f t="shared" ref="DE72:DE81" si="206">AK72/BD72</f>
        <v>1.2386324240375777E-2</v>
      </c>
      <c r="DF72" s="265">
        <f t="shared" ref="DF72:DF81" si="207">AK72/BH72</f>
        <v>85.056818181818187</v>
      </c>
      <c r="DG72" s="269">
        <f t="shared" ref="DG72:DG81" si="208">AM72/BI72</f>
        <v>6.8778570324404299E-3</v>
      </c>
      <c r="DH72" s="267">
        <f t="shared" ref="DH72:DH81" si="209">AM72/BD72</f>
        <v>5.1539354504542894E-3</v>
      </c>
      <c r="DI72" s="272">
        <f t="shared" ref="DI72:DI81" si="210">AM72/BH72</f>
        <v>35.392045454545453</v>
      </c>
      <c r="DJ72" s="264">
        <f t="shared" ref="DJ72:DJ81" si="211">AN72/BI72</f>
        <v>4.2017975840823264E-2</v>
      </c>
      <c r="DK72" s="270">
        <f t="shared" ref="DK72:DK81" si="212">AN72/BC72</f>
        <v>3.6786093708160821E-2</v>
      </c>
      <c r="DL72" s="270">
        <f t="shared" ref="DL72:DL81" si="213">AN72/BD72</f>
        <v>3.1486251345575138E-2</v>
      </c>
      <c r="DM72" s="265">
        <f t="shared" ref="DM72:DM81" si="214">AN72/BH72</f>
        <v>216.21590909090909</v>
      </c>
      <c r="DN72" s="269">
        <f t="shared" ref="DN72:DN81" si="215">AQ72/BI72</f>
        <v>1.6000485833535763E-2</v>
      </c>
      <c r="DO72" s="267">
        <f t="shared" ref="DO72:DO81" si="216">IFERROR(AQ72/BD72,0)</f>
        <v>1.1989994961074507E-2</v>
      </c>
      <c r="DP72" s="268">
        <f t="shared" ref="DP72:DP81" si="217">AQ72/BH72</f>
        <v>82.335227272727266</v>
      </c>
      <c r="DQ72" s="264">
        <f t="shared" ref="DQ72:DQ81" si="218">IFERROR(AV72/BI72,0)</f>
        <v>0.1243170726321136</v>
      </c>
      <c r="DR72" s="270">
        <f t="shared" ref="DR72:DR81" si="219">IFERROR(AV72/BD72,0)</f>
        <v>9.315723847025173E-2</v>
      </c>
      <c r="DS72" s="265">
        <f t="shared" ref="DS72:DS81" si="220">AV72/BH72</f>
        <v>639.71022727272725</v>
      </c>
      <c r="DT72" s="269">
        <f t="shared" ref="DT72:DT81" si="221">AT72/BD72</f>
        <v>3.0714278031195003E-2</v>
      </c>
      <c r="DU72" s="268">
        <f t="shared" ref="DU72:DU81" si="222">AT72/BH72</f>
        <v>210.91477272727272</v>
      </c>
      <c r="DV72" s="264">
        <f t="shared" si="157"/>
        <v>2.2540296924269666E-2</v>
      </c>
      <c r="DW72" s="265">
        <f t="shared" si="158"/>
        <v>154.78409090909091</v>
      </c>
      <c r="DX72" s="264">
        <f t="shared" ref="DX72:DX81" si="223">EB72/BI72</f>
        <v>2.4291676788198663E-5</v>
      </c>
      <c r="DY72" s="270">
        <f t="shared" ref="DY72:DY81" si="224">EB72/BC72</f>
        <v>2.1266990633823988E-5</v>
      </c>
      <c r="DZ72" s="270">
        <f t="shared" ref="DZ72:DZ81" si="225">EB72/BD72</f>
        <v>1.8203014915715905E-5</v>
      </c>
      <c r="EA72" s="265">
        <f t="shared" ref="EA72:EA81" si="226">EB72/BH72</f>
        <v>0.125</v>
      </c>
      <c r="EB72" s="273">
        <f>IFERROR(VLOOKUP(A72,'BARNET SCHS PUPIL PREMIUM Nos'!$E$31:$V$117,17,0),0)</f>
        <v>22</v>
      </c>
      <c r="EC72" s="258">
        <f>IFERROR(VLOOKUP(A72,CFR20212022_BenchMarkDataReport!$B$4:$CL$90,36,0),0)</f>
        <v>0</v>
      </c>
      <c r="ED72" s="258">
        <f>IFERROR(VLOOKUP(A72,CFR20212022_BenchMarkDataReport!$B$4:$CL$90,37,0),0)</f>
        <v>0</v>
      </c>
      <c r="EE72" s="258">
        <f>IFERROR(VLOOKUP(A72,CFR20212022_BenchMarkDataReport!$B$4:$CL$90,38,0),0)</f>
        <v>0</v>
      </c>
      <c r="EF72" s="258">
        <f>IFERROR(VLOOKUP(A72,CFR20212022_BenchMarkDataReport!$B$4:$CL$90,39,0),0)</f>
        <v>49312</v>
      </c>
      <c r="EG72" s="227"/>
    </row>
    <row r="73" spans="1:137" s="5" customFormat="1">
      <c r="A73" s="147">
        <v>3506</v>
      </c>
      <c r="B73" s="298">
        <v>10096</v>
      </c>
      <c r="C73" s="147" t="s">
        <v>100</v>
      </c>
      <c r="D73" s="258">
        <f>IFERROR(VLOOKUP(A73,CFR20212022_BenchMarkDataReport!$B$4:$CL$90,19,0),0)</f>
        <v>1285154.52</v>
      </c>
      <c r="E73" s="258">
        <f>IFERROR(VLOOKUP(A73,CFR20212022_BenchMarkDataReport!$B$4:$CL$90,20,0),0)</f>
        <v>0</v>
      </c>
      <c r="F73" s="258">
        <f>IFERROR(VLOOKUP(A73,CFR20212022_BenchMarkDataReport!$B$4:$CL$90,21,0),0)</f>
        <v>90608.07</v>
      </c>
      <c r="G73" s="258">
        <f>IFERROR(VLOOKUP(A73,CFR20212022_BenchMarkDataReport!$B$4:$CL$90,22,0),0)</f>
        <v>0</v>
      </c>
      <c r="H73" s="258">
        <f>IFERROR(VLOOKUP(A73,CFR20212022_BenchMarkDataReport!$B$4:$CL$90,23,0),0)</f>
        <v>23519.97</v>
      </c>
      <c r="I73" s="258">
        <f>IFERROR(VLOOKUP(A73,CFR20212022_BenchMarkDataReport!$B$4:$CL$90,24,0),0)</f>
        <v>0</v>
      </c>
      <c r="J73" s="258">
        <f>IFERROR(VLOOKUP(A73,CFR20212022_BenchMarkDataReport!$B$4:$CL$90,25,0),0)</f>
        <v>2006.02</v>
      </c>
      <c r="K73" s="258">
        <f>IFERROR(VLOOKUP(A73,CFR20212022_BenchMarkDataReport!$B$4:$CL$90,26,0),0)</f>
        <v>21484.25</v>
      </c>
      <c r="L73" s="258">
        <f>IFERROR(VLOOKUP(A73,CFR20212022_BenchMarkDataReport!$B$4:$CL$90,27,0),0)</f>
        <v>11297.82</v>
      </c>
      <c r="M73" s="258">
        <f>IFERROR(VLOOKUP(A73,CFR20212022_BenchMarkDataReport!$B$4:$CL$90,28,0),0)</f>
        <v>20913.48</v>
      </c>
      <c r="N73" s="258">
        <f>IFERROR(VLOOKUP(A73,CFR20212022_BenchMarkDataReport!$B$4:$CL$90,29,0),0)</f>
        <v>0</v>
      </c>
      <c r="O73" s="258">
        <f>IFERROR(VLOOKUP(A73,CFR20212022_BenchMarkDataReport!$B$4:$CL$90,30,0),0)</f>
        <v>0</v>
      </c>
      <c r="P73" s="258">
        <f>IFERROR(VLOOKUP(A73,CFR20212022_BenchMarkDataReport!$B$4:$CL$90,31,0),0)</f>
        <v>6003</v>
      </c>
      <c r="Q73" s="258">
        <f>IFERROR(VLOOKUP(A73,CFR20212022_BenchMarkDataReport!$B$4:$CL$90,32,0),0)</f>
        <v>15750.24</v>
      </c>
      <c r="R73" s="258">
        <f>IFERROR(VLOOKUP(A73,CFR20212022_BenchMarkDataReport!$B$4:$CL$90,33,0),0)</f>
        <v>0</v>
      </c>
      <c r="S73" s="258">
        <f>IFERROR(VLOOKUP(A73,CFR20212022_BenchMarkDataReport!$B$4:$CL$90,34,0),0)</f>
        <v>0</v>
      </c>
      <c r="T73" s="258">
        <f>IFERROR(VLOOKUP(A73,CFR20212022_BenchMarkDataReport!$B$4:$CL$90,35,0),0)</f>
        <v>0</v>
      </c>
      <c r="U73" s="258">
        <f t="shared" si="152"/>
        <v>74613.45</v>
      </c>
      <c r="V73" s="258">
        <f>IFERROR(VLOOKUP(A73,CFR20212022_BenchMarkDataReport!$B$4:$CL$90,40,0),0)</f>
        <v>745444.9</v>
      </c>
      <c r="W73" s="258">
        <f>IFERROR(VLOOKUP(A73,CFR20212022_BenchMarkDataReport!$B$4:$CL$90,41,0),0)</f>
        <v>0</v>
      </c>
      <c r="X73" s="258">
        <f>IFERROR(VLOOKUP(A73,CFR20212022_BenchMarkDataReport!$B$4:$CL$90,42,0),0)</f>
        <v>352083.82</v>
      </c>
      <c r="Y73" s="258">
        <f>IFERROR(VLOOKUP(A73,CFR20212022_BenchMarkDataReport!$B$4:$CL$90,43,0),0)</f>
        <v>73204.240000000005</v>
      </c>
      <c r="Z73" s="258">
        <f>IFERROR(VLOOKUP(A73,CFR20212022_BenchMarkDataReport!$B$4:$CL$90,44,0),0)</f>
        <v>78778.62</v>
      </c>
      <c r="AA73" s="258">
        <f>IFERROR(VLOOKUP(A73,CFR20212022_BenchMarkDataReport!$B$4:$CL$90,45,0),0)</f>
        <v>0</v>
      </c>
      <c r="AB73" s="258">
        <f>IFERROR(VLOOKUP(A73,CFR20212022_BenchMarkDataReport!$B$4:$CL$90,46,0),0)</f>
        <v>0</v>
      </c>
      <c r="AC73" s="258">
        <f>IFERROR(VLOOKUP(A73,CFR20212022_BenchMarkDataReport!$B$4:$CL$90,47,0),0)</f>
        <v>2291.9899999999998</v>
      </c>
      <c r="AD73" s="258">
        <f>IFERROR(VLOOKUP(A73,CFR20212022_BenchMarkDataReport!$B$4:$CL$90,48,0),0)</f>
        <v>7522.07</v>
      </c>
      <c r="AE73" s="258">
        <f>IFERROR(VLOOKUP(A73,CFR20212022_BenchMarkDataReport!$B$4:$CL$90,49,0),0)</f>
        <v>465.76</v>
      </c>
      <c r="AF73" s="258">
        <f>IFERROR(VLOOKUP(A73,CFR20212022_BenchMarkDataReport!$B$4:$CL$90,50,0),0)</f>
        <v>0</v>
      </c>
      <c r="AG73" s="258">
        <f>IFERROR(VLOOKUP(A73,CFR20212022_BenchMarkDataReport!$B$4:$CL$90,51,0),0)</f>
        <v>40248.129999999997</v>
      </c>
      <c r="AH73" s="258">
        <f>IFERROR(VLOOKUP(A73,CFR20212022_BenchMarkDataReport!$B$4:$CL$90,52,0),0)</f>
        <v>5018.75</v>
      </c>
      <c r="AI73" s="258">
        <f>IFERROR(VLOOKUP(A73,CFR20212022_BenchMarkDataReport!$B$4:$CL$90,53,0),0)</f>
        <v>5619.08</v>
      </c>
      <c r="AJ73" s="258">
        <f>IFERROR(VLOOKUP(A73,CFR20212022_BenchMarkDataReport!$B$4:$CL$90,54,0),0)</f>
        <v>1750.05</v>
      </c>
      <c r="AK73" s="258">
        <f>IFERROR(VLOOKUP(A73,CFR20212022_BenchMarkDataReport!$B$4:$CL$90,55,0),0)</f>
        <v>17115.84</v>
      </c>
      <c r="AL73" s="258">
        <f>IFERROR(VLOOKUP(A73,CFR20212022_BenchMarkDataReport!$B$4:$CL$90,56,0),0)</f>
        <v>3628.2</v>
      </c>
      <c r="AM73" s="258">
        <f>IFERROR(VLOOKUP(A73,CFR20212022_BenchMarkDataReport!$B$4:$CL$90,57,0),0)</f>
        <v>8457.5499999999993</v>
      </c>
      <c r="AN73" s="258">
        <f>IFERROR(VLOOKUP(A73,CFR20212022_BenchMarkDataReport!$B$4:$CL$90,58,0),0)</f>
        <v>23883.09</v>
      </c>
      <c r="AO73" s="258">
        <f>IFERROR(VLOOKUP(A73,CFR20212022_BenchMarkDataReport!$B$4:$CL$90,59,0),0)</f>
        <v>13481.65</v>
      </c>
      <c r="AP73" s="258">
        <f>IFERROR(VLOOKUP(A73,CFR20212022_BenchMarkDataReport!$B$4:$CL$90,60,0),0)</f>
        <v>0</v>
      </c>
      <c r="AQ73" s="258">
        <f>IFERROR(VLOOKUP(A73,CFR20212022_BenchMarkDataReport!$B$4:$CL$90,61,0),0)</f>
        <v>11740.21</v>
      </c>
      <c r="AR73" s="258">
        <f>IFERROR(VLOOKUP(A73,CFR20212022_BenchMarkDataReport!$B$4:$CL$90,62,0),0)</f>
        <v>14970.02</v>
      </c>
      <c r="AS73" s="258">
        <f>IFERROR(VLOOKUP(A73,CFR20212022_BenchMarkDataReport!$B$4:$CL$90,63,0),0)</f>
        <v>11604.1</v>
      </c>
      <c r="AT73" s="258">
        <f>IFERROR(VLOOKUP(A73,CFR20212022_BenchMarkDataReport!$B$4:$CL$90,64,0),0)</f>
        <v>61601.16</v>
      </c>
      <c r="AU73" s="258">
        <f>IFERROR(VLOOKUP(A73,CFR20212022_BenchMarkDataReport!$B$4:$CL$90,65,0),0)</f>
        <v>21398</v>
      </c>
      <c r="AV73" s="258">
        <f>IFERROR(VLOOKUP(A73,CFR20212022_BenchMarkDataReport!$B$4:$CL$90,66,0),0)</f>
        <v>59298.32</v>
      </c>
      <c r="AW73" s="258">
        <f>IFERROR(VLOOKUP(A73,CFR20212022_BenchMarkDataReport!$B$4:$CL$90,67,0),0)</f>
        <v>47782</v>
      </c>
      <c r="AX73" s="258">
        <f>IFERROR(VLOOKUP(A73,CFR20212022_BenchMarkDataReport!$B$4:$CL$90,68,0),0)</f>
        <v>0</v>
      </c>
      <c r="AY73" s="258">
        <f>IFERROR(VLOOKUP(A73,CFR20212022_BenchMarkDataReport!$B$4:$CL$90,69,0),0)</f>
        <v>0</v>
      </c>
      <c r="AZ73" s="258">
        <f>IFERROR(VLOOKUP(A73,CFR20212022_BenchMarkDataReport!$B$4:$CL$90,70,0),0)</f>
        <v>10780</v>
      </c>
      <c r="BA73" s="258">
        <f>IFERROR(VLOOKUP(A73,CFR20212022_BenchMarkDataReport!$B$4:$CL$90,71,0),0)</f>
        <v>0</v>
      </c>
      <c r="BB73" s="258">
        <f>IFERROR(VLOOKUP(A73,CFR20212022_BenchMarkDataReport!$B$4:$CL$90,72,0),0)</f>
        <v>0</v>
      </c>
      <c r="BC73" s="259">
        <f t="shared" si="159"/>
        <v>1551350.82</v>
      </c>
      <c r="BD73" s="260">
        <f t="shared" si="154"/>
        <v>1618167.5500000003</v>
      </c>
      <c r="BE73" s="300">
        <f t="shared" si="155"/>
        <v>-66816.730000000214</v>
      </c>
      <c r="BF73" s="258">
        <f>IFERROR(VLOOKUP(A73,CFR20212022_BenchMarkDataReport!$B$4:$CL$90,16,0),0)</f>
        <v>198417.17</v>
      </c>
      <c r="BG73" s="300">
        <f t="shared" si="156"/>
        <v>131600.4399999998</v>
      </c>
      <c r="BH73" s="261">
        <f>IFERROR(VLOOKUP(A73,'Pupil Nos BenchmarkData 21-22'!$A$6:$E$94,5,0),0)</f>
        <v>283</v>
      </c>
      <c r="BI73" s="260">
        <f t="shared" si="153"/>
        <v>1375762.59</v>
      </c>
      <c r="BJ73" s="227" t="s">
        <v>183</v>
      </c>
      <c r="BK73" s="262">
        <f t="shared" si="160"/>
        <v>0.82840999175157559</v>
      </c>
      <c r="BL73" s="263">
        <f t="shared" si="161"/>
        <v>4541.182049469965</v>
      </c>
      <c r="BM73" s="264">
        <f t="shared" si="162"/>
        <v>0</v>
      </c>
      <c r="BN73" s="265">
        <f t="shared" si="163"/>
        <v>0</v>
      </c>
      <c r="BO73" s="262">
        <f t="shared" si="164"/>
        <v>5.8405918785023755E-2</v>
      </c>
      <c r="BP73" s="263">
        <f t="shared" si="165"/>
        <v>320.16985865724382</v>
      </c>
      <c r="BQ73" s="264">
        <f t="shared" si="166"/>
        <v>0</v>
      </c>
      <c r="BR73" s="265">
        <f t="shared" si="167"/>
        <v>0</v>
      </c>
      <c r="BS73" s="262">
        <f t="shared" si="168"/>
        <v>1.516096146453837E-2</v>
      </c>
      <c r="BT73" s="263">
        <f t="shared" si="169"/>
        <v>83.109434628975265</v>
      </c>
      <c r="BU73" s="264">
        <f t="shared" si="170"/>
        <v>0</v>
      </c>
      <c r="BV73" s="265">
        <f t="shared" si="171"/>
        <v>0</v>
      </c>
      <c r="BW73" s="262">
        <f t="shared" si="172"/>
        <v>1.2930795369676602E-3</v>
      </c>
      <c r="BX73" s="263">
        <f t="shared" si="173"/>
        <v>7.0884098939929325</v>
      </c>
      <c r="BY73" s="264">
        <f t="shared" si="174"/>
        <v>2.1131306715008537E-2</v>
      </c>
      <c r="BZ73" s="266">
        <f t="shared" si="175"/>
        <v>115.83770318021202</v>
      </c>
      <c r="CA73" s="267">
        <f t="shared" si="176"/>
        <v>3.869530942072793E-3</v>
      </c>
      <c r="CB73" s="268">
        <f t="shared" si="177"/>
        <v>21.21201413427562</v>
      </c>
      <c r="CC73" s="264">
        <f t="shared" si="178"/>
        <v>1.0152597205575976E-2</v>
      </c>
      <c r="CD73" s="265">
        <f t="shared" si="179"/>
        <v>55.654558303886922</v>
      </c>
      <c r="CE73" s="269">
        <f t="shared" si="180"/>
        <v>0.55739479004149983</v>
      </c>
      <c r="CF73" s="267">
        <f t="shared" si="181"/>
        <v>0.49430656825900926</v>
      </c>
      <c r="CG73" s="267">
        <f t="shared" si="182"/>
        <v>0.47389585831207648</v>
      </c>
      <c r="CH73" s="268">
        <f t="shared" si="183"/>
        <v>2709.6922261484101</v>
      </c>
      <c r="CI73" s="264">
        <f t="shared" si="184"/>
        <v>0.25591902451715887</v>
      </c>
      <c r="CJ73" s="270">
        <f t="shared" si="185"/>
        <v>0.22695306275082253</v>
      </c>
      <c r="CK73" s="270">
        <f t="shared" si="186"/>
        <v>0.21758180727329499</v>
      </c>
      <c r="CL73" s="271">
        <f t="shared" si="187"/>
        <v>1244.1124381625441</v>
      </c>
      <c r="CM73" s="269">
        <f t="shared" si="188"/>
        <v>5.3209936461493697E-2</v>
      </c>
      <c r="CN73" s="267">
        <f t="shared" si="189"/>
        <v>4.7187418252694124E-2</v>
      </c>
      <c r="CO73" s="267">
        <f t="shared" si="190"/>
        <v>4.5238974171741358E-2</v>
      </c>
      <c r="CP73" s="268">
        <f t="shared" si="191"/>
        <v>258.67222614840989</v>
      </c>
      <c r="CQ73" s="264">
        <f t="shared" si="192"/>
        <v>5.7261783808207775E-2</v>
      </c>
      <c r="CR73" s="270">
        <f t="shared" si="193"/>
        <v>5.0780660946825679E-2</v>
      </c>
      <c r="CS73" s="270">
        <f t="shared" si="194"/>
        <v>4.8683846119643159E-2</v>
      </c>
      <c r="CT73" s="265">
        <f t="shared" si="195"/>
        <v>278.36968197879855</v>
      </c>
      <c r="CU73" s="269">
        <f t="shared" si="196"/>
        <v>0.90823197918181509</v>
      </c>
      <c r="CV73" s="267">
        <f t="shared" si="197"/>
        <v>0.80543456959657911</v>
      </c>
      <c r="CW73" s="267">
        <f t="shared" si="198"/>
        <v>0.77217688613271218</v>
      </c>
      <c r="CX73" s="268">
        <f t="shared" si="199"/>
        <v>4415.2352650176681</v>
      </c>
      <c r="CY73" s="264">
        <f t="shared" si="200"/>
        <v>2.9255142051798338E-2</v>
      </c>
      <c r="CZ73" s="270">
        <f t="shared" si="201"/>
        <v>2.4872659200216932E-2</v>
      </c>
      <c r="DA73" s="265">
        <f t="shared" si="202"/>
        <v>142.21954063604238</v>
      </c>
      <c r="DB73" s="269">
        <f t="shared" si="203"/>
        <v>1.0815011090785991E-3</v>
      </c>
      <c r="DC73" s="268">
        <f t="shared" si="204"/>
        <v>6.1839222614840992</v>
      </c>
      <c r="DD73" s="264">
        <f t="shared" si="205"/>
        <v>1.2440983731066564E-2</v>
      </c>
      <c r="DE73" s="270">
        <f t="shared" si="206"/>
        <v>1.0577297758813664E-2</v>
      </c>
      <c r="DF73" s="265">
        <f t="shared" si="207"/>
        <v>60.480000000000004</v>
      </c>
      <c r="DG73" s="269">
        <f t="shared" si="208"/>
        <v>6.1475359640357705E-3</v>
      </c>
      <c r="DH73" s="267">
        <f t="shared" si="209"/>
        <v>5.2266219279950323E-3</v>
      </c>
      <c r="DI73" s="272">
        <f t="shared" si="210"/>
        <v>29.885335689045935</v>
      </c>
      <c r="DJ73" s="264">
        <f t="shared" si="211"/>
        <v>1.7359892014508112E-2</v>
      </c>
      <c r="DK73" s="270">
        <f t="shared" si="212"/>
        <v>1.5395028443663052E-2</v>
      </c>
      <c r="DL73" s="270">
        <f t="shared" si="213"/>
        <v>1.4759343060611984E-2</v>
      </c>
      <c r="DM73" s="265">
        <f t="shared" si="214"/>
        <v>84.392544169611313</v>
      </c>
      <c r="DN73" s="269">
        <f t="shared" si="215"/>
        <v>8.5336017168485424E-3</v>
      </c>
      <c r="DO73" s="267">
        <f t="shared" si="216"/>
        <v>7.2552499276110176E-3</v>
      </c>
      <c r="DP73" s="268">
        <f t="shared" si="217"/>
        <v>41.484840989399288</v>
      </c>
      <c r="DQ73" s="264">
        <f t="shared" si="218"/>
        <v>4.3102145988720336E-2</v>
      </c>
      <c r="DR73" s="270">
        <f t="shared" si="219"/>
        <v>3.6645352330789221E-2</v>
      </c>
      <c r="DS73" s="265">
        <f t="shared" si="220"/>
        <v>209.53469964664311</v>
      </c>
      <c r="DT73" s="269">
        <f t="shared" si="221"/>
        <v>3.8068468249780434E-2</v>
      </c>
      <c r="DU73" s="268">
        <f t="shared" si="222"/>
        <v>217.67194346289753</v>
      </c>
      <c r="DV73" s="264">
        <f t="shared" si="157"/>
        <v>3.472495786978301E-3</v>
      </c>
      <c r="DW73" s="265">
        <f t="shared" si="158"/>
        <v>19.855406360424027</v>
      </c>
      <c r="DX73" s="264">
        <f t="shared" si="223"/>
        <v>1.0176174364502817E-5</v>
      </c>
      <c r="DY73" s="270">
        <f t="shared" si="224"/>
        <v>9.024393334835765E-6</v>
      </c>
      <c r="DZ73" s="270">
        <f t="shared" si="225"/>
        <v>8.6517616794379536E-6</v>
      </c>
      <c r="EA73" s="265">
        <f t="shared" si="226"/>
        <v>4.9469964664310952E-2</v>
      </c>
      <c r="EB73" s="273">
        <f>IFERROR(VLOOKUP(A73,'BARNET SCHS PUPIL PREMIUM Nos'!$E$31:$V$117,17,0),0)</f>
        <v>14</v>
      </c>
      <c r="EC73" s="258">
        <f>IFERROR(VLOOKUP(A73,CFR20212022_BenchMarkDataReport!$B$4:$CL$90,36,0),0)</f>
        <v>0</v>
      </c>
      <c r="ED73" s="258">
        <f>IFERROR(VLOOKUP(A73,CFR20212022_BenchMarkDataReport!$B$4:$CL$90,37,0),0)</f>
        <v>0</v>
      </c>
      <c r="EE73" s="258">
        <f>IFERROR(VLOOKUP(A73,CFR20212022_BenchMarkDataReport!$B$4:$CL$90,38,0),0)</f>
        <v>12883.12</v>
      </c>
      <c r="EF73" s="258">
        <f>IFERROR(VLOOKUP(A73,CFR20212022_BenchMarkDataReport!$B$4:$CL$90,39,0),0)</f>
        <v>61730.33</v>
      </c>
      <c r="EG73" s="227"/>
    </row>
    <row r="74" spans="1:137" s="5" customFormat="1">
      <c r="A74" s="147">
        <v>2070</v>
      </c>
      <c r="B74" s="298">
        <v>10097</v>
      </c>
      <c r="C74" s="147" t="s">
        <v>102</v>
      </c>
      <c r="D74" s="258">
        <f>IFERROR(VLOOKUP(A74,CFR20212022_BenchMarkDataReport!$B$4:$CL$90,19,0),0)</f>
        <v>1325742.83</v>
      </c>
      <c r="E74" s="258">
        <f>IFERROR(VLOOKUP(A74,CFR20212022_BenchMarkDataReport!$B$4:$CL$90,20,0),0)</f>
        <v>0</v>
      </c>
      <c r="F74" s="258">
        <f>IFERROR(VLOOKUP(A74,CFR20212022_BenchMarkDataReport!$B$4:$CL$90,21,0),0)</f>
        <v>56827.39</v>
      </c>
      <c r="G74" s="258">
        <f>IFERROR(VLOOKUP(A74,CFR20212022_BenchMarkDataReport!$B$4:$CL$90,22,0),0)</f>
        <v>0</v>
      </c>
      <c r="H74" s="258">
        <f>IFERROR(VLOOKUP(A74,CFR20212022_BenchMarkDataReport!$B$4:$CL$90,23,0),0)</f>
        <v>108945.03</v>
      </c>
      <c r="I74" s="258">
        <f>IFERROR(VLOOKUP(A74,CFR20212022_BenchMarkDataReport!$B$4:$CL$90,24,0),0)</f>
        <v>23340.37</v>
      </c>
      <c r="J74" s="258">
        <f>IFERROR(VLOOKUP(A74,CFR20212022_BenchMarkDataReport!$B$4:$CL$90,25,0),0)</f>
        <v>5125</v>
      </c>
      <c r="K74" s="258">
        <f>IFERROR(VLOOKUP(A74,CFR20212022_BenchMarkDataReport!$B$4:$CL$90,26,0),0)</f>
        <v>11557.3</v>
      </c>
      <c r="L74" s="258">
        <f>IFERROR(VLOOKUP(A74,CFR20212022_BenchMarkDataReport!$B$4:$CL$90,27,0),0)</f>
        <v>20203.59</v>
      </c>
      <c r="M74" s="258">
        <f>IFERROR(VLOOKUP(A74,CFR20212022_BenchMarkDataReport!$B$4:$CL$90,28,0),0)</f>
        <v>15933.52</v>
      </c>
      <c r="N74" s="258">
        <f>IFERROR(VLOOKUP(A74,CFR20212022_BenchMarkDataReport!$B$4:$CL$90,29,0),0)</f>
        <v>0</v>
      </c>
      <c r="O74" s="258">
        <f>IFERROR(VLOOKUP(A74,CFR20212022_BenchMarkDataReport!$B$4:$CL$90,30,0),0)</f>
        <v>0</v>
      </c>
      <c r="P74" s="258">
        <f>IFERROR(VLOOKUP(A74,CFR20212022_BenchMarkDataReport!$B$4:$CL$90,31,0),0)</f>
        <v>31170.240000000002</v>
      </c>
      <c r="Q74" s="258">
        <f>IFERROR(VLOOKUP(A74,CFR20212022_BenchMarkDataReport!$B$4:$CL$90,32,0),0)</f>
        <v>2867.48</v>
      </c>
      <c r="R74" s="258">
        <f>IFERROR(VLOOKUP(A74,CFR20212022_BenchMarkDataReport!$B$4:$CL$90,33,0),0)</f>
        <v>0</v>
      </c>
      <c r="S74" s="258">
        <f>IFERROR(VLOOKUP(A74,CFR20212022_BenchMarkDataReport!$B$4:$CL$90,34,0),0)</f>
        <v>0</v>
      </c>
      <c r="T74" s="258">
        <f>IFERROR(VLOOKUP(A74,CFR20212022_BenchMarkDataReport!$B$4:$CL$90,35,0),0)</f>
        <v>0</v>
      </c>
      <c r="U74" s="258">
        <f t="shared" si="152"/>
        <v>63105.5</v>
      </c>
      <c r="V74" s="258">
        <f>IFERROR(VLOOKUP(A74,CFR20212022_BenchMarkDataReport!$B$4:$CL$90,40,0),0)</f>
        <v>752086.42</v>
      </c>
      <c r="W74" s="258">
        <f>IFERROR(VLOOKUP(A74,CFR20212022_BenchMarkDataReport!$B$4:$CL$90,41,0),0)</f>
        <v>0</v>
      </c>
      <c r="X74" s="258">
        <f>IFERROR(VLOOKUP(A74,CFR20212022_BenchMarkDataReport!$B$4:$CL$90,42,0),0)</f>
        <v>365454.17</v>
      </c>
      <c r="Y74" s="258">
        <f>IFERROR(VLOOKUP(A74,CFR20212022_BenchMarkDataReport!$B$4:$CL$90,43,0),0)</f>
        <v>72047.86</v>
      </c>
      <c r="Z74" s="258">
        <f>IFERROR(VLOOKUP(A74,CFR20212022_BenchMarkDataReport!$B$4:$CL$90,44,0),0)</f>
        <v>121391.81</v>
      </c>
      <c r="AA74" s="258">
        <f>IFERROR(VLOOKUP(A74,CFR20212022_BenchMarkDataReport!$B$4:$CL$90,45,0),0)</f>
        <v>0</v>
      </c>
      <c r="AB74" s="258">
        <f>IFERROR(VLOOKUP(A74,CFR20212022_BenchMarkDataReport!$B$4:$CL$90,46,0),0)</f>
        <v>41736.79</v>
      </c>
      <c r="AC74" s="258">
        <f>IFERROR(VLOOKUP(A74,CFR20212022_BenchMarkDataReport!$B$4:$CL$90,47,0),0)</f>
        <v>13824.89</v>
      </c>
      <c r="AD74" s="258">
        <f>IFERROR(VLOOKUP(A74,CFR20212022_BenchMarkDataReport!$B$4:$CL$90,48,0),0)</f>
        <v>4241.1000000000004</v>
      </c>
      <c r="AE74" s="258">
        <f>IFERROR(VLOOKUP(A74,CFR20212022_BenchMarkDataReport!$B$4:$CL$90,49,0),0)</f>
        <v>342.76</v>
      </c>
      <c r="AF74" s="258">
        <f>IFERROR(VLOOKUP(A74,CFR20212022_BenchMarkDataReport!$B$4:$CL$90,50,0),0)</f>
        <v>0</v>
      </c>
      <c r="AG74" s="258">
        <f>IFERROR(VLOOKUP(A74,CFR20212022_BenchMarkDataReport!$B$4:$CL$90,51,0),0)</f>
        <v>22499.33</v>
      </c>
      <c r="AH74" s="258">
        <f>IFERROR(VLOOKUP(A74,CFR20212022_BenchMarkDataReport!$B$4:$CL$90,52,0),0)</f>
        <v>2649.21</v>
      </c>
      <c r="AI74" s="258">
        <f>IFERROR(VLOOKUP(A74,CFR20212022_BenchMarkDataReport!$B$4:$CL$90,53,0),0)</f>
        <v>1598.88</v>
      </c>
      <c r="AJ74" s="258">
        <f>IFERROR(VLOOKUP(A74,CFR20212022_BenchMarkDataReport!$B$4:$CL$90,54,0),0)</f>
        <v>4746.4799999999996</v>
      </c>
      <c r="AK74" s="258">
        <f>IFERROR(VLOOKUP(A74,CFR20212022_BenchMarkDataReport!$B$4:$CL$90,55,0),0)</f>
        <v>19594.41</v>
      </c>
      <c r="AL74" s="258">
        <f>IFERROR(VLOOKUP(A74,CFR20212022_BenchMarkDataReport!$B$4:$CL$90,56,0),0)</f>
        <v>25199.5</v>
      </c>
      <c r="AM74" s="258">
        <f>IFERROR(VLOOKUP(A74,CFR20212022_BenchMarkDataReport!$B$4:$CL$90,57,0),0)</f>
        <v>9657.61</v>
      </c>
      <c r="AN74" s="258">
        <f>IFERROR(VLOOKUP(A74,CFR20212022_BenchMarkDataReport!$B$4:$CL$90,58,0),0)</f>
        <v>48634.89</v>
      </c>
      <c r="AO74" s="258">
        <f>IFERROR(VLOOKUP(A74,CFR20212022_BenchMarkDataReport!$B$4:$CL$90,59,0),0)</f>
        <v>14172.05</v>
      </c>
      <c r="AP74" s="258">
        <f>IFERROR(VLOOKUP(A74,CFR20212022_BenchMarkDataReport!$B$4:$CL$90,60,0),0)</f>
        <v>0</v>
      </c>
      <c r="AQ74" s="258">
        <f>IFERROR(VLOOKUP(A74,CFR20212022_BenchMarkDataReport!$B$4:$CL$90,61,0),0)</f>
        <v>9612.85</v>
      </c>
      <c r="AR74" s="258">
        <f>IFERROR(VLOOKUP(A74,CFR20212022_BenchMarkDataReport!$B$4:$CL$90,62,0),0)</f>
        <v>6793.83</v>
      </c>
      <c r="AS74" s="258">
        <f>IFERROR(VLOOKUP(A74,CFR20212022_BenchMarkDataReport!$B$4:$CL$90,63,0),0)</f>
        <v>2761.11</v>
      </c>
      <c r="AT74" s="258">
        <f>IFERROR(VLOOKUP(A74,CFR20212022_BenchMarkDataReport!$B$4:$CL$90,64,0),0)</f>
        <v>58594.05</v>
      </c>
      <c r="AU74" s="258">
        <f>IFERROR(VLOOKUP(A74,CFR20212022_BenchMarkDataReport!$B$4:$CL$90,65,0),0)</f>
        <v>0</v>
      </c>
      <c r="AV74" s="258">
        <f>IFERROR(VLOOKUP(A74,CFR20212022_BenchMarkDataReport!$B$4:$CL$90,66,0),0)</f>
        <v>34020.5</v>
      </c>
      <c r="AW74" s="258">
        <f>IFERROR(VLOOKUP(A74,CFR20212022_BenchMarkDataReport!$B$4:$CL$90,67,0),0)</f>
        <v>12867.64</v>
      </c>
      <c r="AX74" s="258">
        <f>IFERROR(VLOOKUP(A74,CFR20212022_BenchMarkDataReport!$B$4:$CL$90,68,0),0)</f>
        <v>0</v>
      </c>
      <c r="AY74" s="258">
        <f>IFERROR(VLOOKUP(A74,CFR20212022_BenchMarkDataReport!$B$4:$CL$90,69,0),0)</f>
        <v>0</v>
      </c>
      <c r="AZ74" s="258">
        <f>IFERROR(VLOOKUP(A74,CFR20212022_BenchMarkDataReport!$B$4:$CL$90,70,0),0)</f>
        <v>0</v>
      </c>
      <c r="BA74" s="258">
        <f>IFERROR(VLOOKUP(A74,CFR20212022_BenchMarkDataReport!$B$4:$CL$90,71,0),0)</f>
        <v>0</v>
      </c>
      <c r="BB74" s="258">
        <f>IFERROR(VLOOKUP(A74,CFR20212022_BenchMarkDataReport!$B$4:$CL$90,72,0),0)</f>
        <v>0</v>
      </c>
      <c r="BC74" s="259">
        <f t="shared" si="159"/>
        <v>1664818.2500000002</v>
      </c>
      <c r="BD74" s="260">
        <f t="shared" si="154"/>
        <v>1644528.1400000004</v>
      </c>
      <c r="BE74" s="300">
        <f t="shared" si="155"/>
        <v>20290.10999999987</v>
      </c>
      <c r="BF74" s="258">
        <f>IFERROR(VLOOKUP(A74,CFR20212022_BenchMarkDataReport!$B$4:$CL$90,16,0),0)</f>
        <v>289489</v>
      </c>
      <c r="BG74" s="300">
        <f t="shared" si="156"/>
        <v>309779.10999999987</v>
      </c>
      <c r="BH74" s="261">
        <f>IFERROR(VLOOKUP(A74,'Pupil Nos BenchmarkData 21-22'!$A$6:$E$94,5,0),0)</f>
        <v>240</v>
      </c>
      <c r="BI74" s="260">
        <f t="shared" si="153"/>
        <v>1382570.22</v>
      </c>
      <c r="BJ74" s="227" t="s">
        <v>183</v>
      </c>
      <c r="BK74" s="262">
        <f t="shared" si="160"/>
        <v>0.79632886652942436</v>
      </c>
      <c r="BL74" s="263">
        <f t="shared" si="161"/>
        <v>5523.9284583333338</v>
      </c>
      <c r="BM74" s="264">
        <f t="shared" si="162"/>
        <v>0</v>
      </c>
      <c r="BN74" s="265">
        <f t="shared" si="163"/>
        <v>0</v>
      </c>
      <c r="BO74" s="262">
        <f t="shared" si="164"/>
        <v>3.413429063502877E-2</v>
      </c>
      <c r="BP74" s="263">
        <f t="shared" si="165"/>
        <v>236.78079166666666</v>
      </c>
      <c r="BQ74" s="264">
        <f t="shared" si="166"/>
        <v>0</v>
      </c>
      <c r="BR74" s="265">
        <f t="shared" si="167"/>
        <v>0</v>
      </c>
      <c r="BS74" s="262">
        <f t="shared" si="168"/>
        <v>6.5439593781483341E-2</v>
      </c>
      <c r="BT74" s="263">
        <f t="shared" si="169"/>
        <v>453.93762499999997</v>
      </c>
      <c r="BU74" s="264">
        <f t="shared" si="170"/>
        <v>1.4019770626613443E-2</v>
      </c>
      <c r="BV74" s="265">
        <f t="shared" si="171"/>
        <v>97.251541666666668</v>
      </c>
      <c r="BW74" s="262">
        <f t="shared" si="172"/>
        <v>3.0784141151744336E-3</v>
      </c>
      <c r="BX74" s="263">
        <f t="shared" si="173"/>
        <v>21.354166666666668</v>
      </c>
      <c r="BY74" s="264">
        <f t="shared" si="174"/>
        <v>1.9077692114439517E-2</v>
      </c>
      <c r="BZ74" s="266">
        <f t="shared" si="175"/>
        <v>132.33704166666666</v>
      </c>
      <c r="CA74" s="267">
        <f t="shared" si="176"/>
        <v>1.8722908641829218E-2</v>
      </c>
      <c r="CB74" s="268">
        <f t="shared" si="177"/>
        <v>129.876</v>
      </c>
      <c r="CC74" s="264">
        <f t="shared" si="178"/>
        <v>1.7223982257522704E-3</v>
      </c>
      <c r="CD74" s="265">
        <f t="shared" si="179"/>
        <v>11.947833333333334</v>
      </c>
      <c r="CE74" s="269">
        <f t="shared" si="180"/>
        <v>0.54397701405719567</v>
      </c>
      <c r="CF74" s="267">
        <f t="shared" si="181"/>
        <v>0.45175286851883079</v>
      </c>
      <c r="CG74" s="267">
        <f t="shared" si="182"/>
        <v>0.45732657393141346</v>
      </c>
      <c r="CH74" s="268">
        <f t="shared" si="183"/>
        <v>3133.693416666667</v>
      </c>
      <c r="CI74" s="264">
        <f t="shared" si="184"/>
        <v>0.2643295542703068</v>
      </c>
      <c r="CJ74" s="270">
        <f t="shared" si="185"/>
        <v>0.21951595617119163</v>
      </c>
      <c r="CK74" s="270">
        <f t="shared" si="186"/>
        <v>0.22222433360124802</v>
      </c>
      <c r="CL74" s="271">
        <f t="shared" si="187"/>
        <v>1522.7257083333332</v>
      </c>
      <c r="CM74" s="269">
        <f t="shared" si="188"/>
        <v>5.2111537596983684E-2</v>
      </c>
      <c r="CN74" s="267">
        <f t="shared" si="189"/>
        <v>4.327671203748517E-2</v>
      </c>
      <c r="CO74" s="267">
        <f t="shared" si="190"/>
        <v>4.3810658052953706E-2</v>
      </c>
      <c r="CP74" s="268">
        <f t="shared" si="191"/>
        <v>300.19941666666665</v>
      </c>
      <c r="CQ74" s="264">
        <f t="shared" si="192"/>
        <v>8.7801551229708966E-2</v>
      </c>
      <c r="CR74" s="270">
        <f t="shared" si="193"/>
        <v>7.2915953438160583E-2</v>
      </c>
      <c r="CS74" s="270">
        <f t="shared" si="194"/>
        <v>7.3815587004792738E-2</v>
      </c>
      <c r="CT74" s="265">
        <f t="shared" si="195"/>
        <v>505.7992083333333</v>
      </c>
      <c r="CU74" s="269">
        <f t="shared" si="196"/>
        <v>0.97840748370813335</v>
      </c>
      <c r="CV74" s="267">
        <f t="shared" si="197"/>
        <v>0.8125313679135846</v>
      </c>
      <c r="CW74" s="267">
        <f t="shared" si="198"/>
        <v>0.82255634129799682</v>
      </c>
      <c r="CX74" s="268">
        <f t="shared" si="199"/>
        <v>5636.321041666668</v>
      </c>
      <c r="CY74" s="264">
        <f t="shared" si="200"/>
        <v>1.6273553179816068E-2</v>
      </c>
      <c r="CZ74" s="270">
        <f t="shared" si="201"/>
        <v>1.3681328675835243E-2</v>
      </c>
      <c r="DA74" s="265">
        <f t="shared" si="202"/>
        <v>93.747208333333347</v>
      </c>
      <c r="DB74" s="269">
        <f t="shared" si="203"/>
        <v>2.8862260757666321E-3</v>
      </c>
      <c r="DC74" s="268">
        <f t="shared" si="204"/>
        <v>19.776999999999997</v>
      </c>
      <c r="DD74" s="264">
        <f t="shared" si="205"/>
        <v>1.4172451942440942E-2</v>
      </c>
      <c r="DE74" s="270">
        <f t="shared" si="206"/>
        <v>1.1914913173817746E-2</v>
      </c>
      <c r="DF74" s="265">
        <f t="shared" si="207"/>
        <v>81.643375000000006</v>
      </c>
      <c r="DG74" s="269">
        <f t="shared" si="208"/>
        <v>6.9852582243526123E-3</v>
      </c>
      <c r="DH74" s="267">
        <f t="shared" si="209"/>
        <v>5.8725720558360272E-3</v>
      </c>
      <c r="DI74" s="272">
        <f t="shared" si="210"/>
        <v>40.24004166666667</v>
      </c>
      <c r="DJ74" s="264">
        <f t="shared" si="211"/>
        <v>3.51771572224375E-2</v>
      </c>
      <c r="DK74" s="270">
        <f t="shared" si="212"/>
        <v>2.9213333047015788E-2</v>
      </c>
      <c r="DL74" s="270">
        <f t="shared" si="213"/>
        <v>2.957376576116234E-2</v>
      </c>
      <c r="DM74" s="265">
        <f t="shared" si="214"/>
        <v>202.645375</v>
      </c>
      <c r="DN74" s="269">
        <f t="shared" si="215"/>
        <v>6.9528837385199865E-3</v>
      </c>
      <c r="DO74" s="267">
        <f t="shared" si="216"/>
        <v>5.8453545221792301E-3</v>
      </c>
      <c r="DP74" s="268">
        <f t="shared" si="217"/>
        <v>40.053541666666668</v>
      </c>
      <c r="DQ74" s="264">
        <f t="shared" si="218"/>
        <v>2.4606706775443205E-2</v>
      </c>
      <c r="DR74" s="270">
        <f t="shared" si="219"/>
        <v>2.0687089002928215E-2</v>
      </c>
      <c r="DS74" s="265">
        <f t="shared" si="220"/>
        <v>141.75208333333333</v>
      </c>
      <c r="DT74" s="269">
        <f t="shared" si="221"/>
        <v>3.5629703484429273E-2</v>
      </c>
      <c r="DU74" s="268">
        <f t="shared" si="222"/>
        <v>244.141875</v>
      </c>
      <c r="DV74" s="264">
        <f t="shared" si="157"/>
        <v>9.7224240869481248E-4</v>
      </c>
      <c r="DW74" s="265">
        <f t="shared" si="158"/>
        <v>6.6620000000000008</v>
      </c>
      <c r="DX74" s="264">
        <f t="shared" si="223"/>
        <v>5.8586536024188345E-5</v>
      </c>
      <c r="DY74" s="270">
        <f t="shared" si="224"/>
        <v>4.8653959673976418E-5</v>
      </c>
      <c r="DZ74" s="270">
        <f t="shared" si="225"/>
        <v>4.9254249915115457E-5</v>
      </c>
      <c r="EA74" s="265">
        <f t="shared" si="226"/>
        <v>0.33750000000000002</v>
      </c>
      <c r="EB74" s="273">
        <f>IFERROR(VLOOKUP(A74,'BARNET SCHS PUPIL PREMIUM Nos'!$E$31:$V$117,17,0),0)</f>
        <v>81</v>
      </c>
      <c r="EC74" s="258">
        <f>IFERROR(VLOOKUP(A74,CFR20212022_BenchMarkDataReport!$B$4:$CL$90,36,0),0)</f>
        <v>0</v>
      </c>
      <c r="ED74" s="258">
        <f>IFERROR(VLOOKUP(A74,CFR20212022_BenchMarkDataReport!$B$4:$CL$90,37,0),0)</f>
        <v>0</v>
      </c>
      <c r="EE74" s="258">
        <f>IFERROR(VLOOKUP(A74,CFR20212022_BenchMarkDataReport!$B$4:$CL$90,38,0),0)</f>
        <v>18502.5</v>
      </c>
      <c r="EF74" s="258">
        <f>IFERROR(VLOOKUP(A74,CFR20212022_BenchMarkDataReport!$B$4:$CL$90,39,0),0)</f>
        <v>44603</v>
      </c>
      <c r="EG74" s="227"/>
    </row>
    <row r="75" spans="1:137" s="5" customFormat="1">
      <c r="A75" s="147">
        <v>3316</v>
      </c>
      <c r="B75" s="298">
        <v>10100</v>
      </c>
      <c r="C75" s="147" t="s">
        <v>103</v>
      </c>
      <c r="D75" s="258">
        <f>IFERROR(VLOOKUP(A75,CFR20212022_BenchMarkDataReport!$B$4:$CL$90,19,0),0)</f>
        <v>968920.29</v>
      </c>
      <c r="E75" s="258">
        <f>IFERROR(VLOOKUP(A75,CFR20212022_BenchMarkDataReport!$B$4:$CL$90,20,0),0)</f>
        <v>0</v>
      </c>
      <c r="F75" s="258">
        <f>IFERROR(VLOOKUP(A75,CFR20212022_BenchMarkDataReport!$B$4:$CL$90,21,0),0)</f>
        <v>56311.09</v>
      </c>
      <c r="G75" s="258">
        <f>IFERROR(VLOOKUP(A75,CFR20212022_BenchMarkDataReport!$B$4:$CL$90,22,0),0)</f>
        <v>0</v>
      </c>
      <c r="H75" s="258">
        <f>IFERROR(VLOOKUP(A75,CFR20212022_BenchMarkDataReport!$B$4:$CL$90,23,0),0)</f>
        <v>31519.98</v>
      </c>
      <c r="I75" s="258">
        <f>IFERROR(VLOOKUP(A75,CFR20212022_BenchMarkDataReport!$B$4:$CL$90,24,0),0)</f>
        <v>1449</v>
      </c>
      <c r="J75" s="258">
        <f>IFERROR(VLOOKUP(A75,CFR20212022_BenchMarkDataReport!$B$4:$CL$90,25,0),0)</f>
        <v>35180.9</v>
      </c>
      <c r="K75" s="258">
        <f>IFERROR(VLOOKUP(A75,CFR20212022_BenchMarkDataReport!$B$4:$CL$90,26,0),0)</f>
        <v>0</v>
      </c>
      <c r="L75" s="258">
        <f>IFERROR(VLOOKUP(A75,CFR20212022_BenchMarkDataReport!$B$4:$CL$90,27,0),0)</f>
        <v>29265.29</v>
      </c>
      <c r="M75" s="258">
        <f>IFERROR(VLOOKUP(A75,CFR20212022_BenchMarkDataReport!$B$4:$CL$90,28,0),0)</f>
        <v>20033.55</v>
      </c>
      <c r="N75" s="258">
        <f>IFERROR(VLOOKUP(A75,CFR20212022_BenchMarkDataReport!$B$4:$CL$90,29,0),0)</f>
        <v>0</v>
      </c>
      <c r="O75" s="258">
        <f>IFERROR(VLOOKUP(A75,CFR20212022_BenchMarkDataReport!$B$4:$CL$90,30,0),0)</f>
        <v>0</v>
      </c>
      <c r="P75" s="258">
        <f>IFERROR(VLOOKUP(A75,CFR20212022_BenchMarkDataReport!$B$4:$CL$90,31,0),0)</f>
        <v>20844.21</v>
      </c>
      <c r="Q75" s="258">
        <f>IFERROR(VLOOKUP(A75,CFR20212022_BenchMarkDataReport!$B$4:$CL$90,32,0),0)</f>
        <v>3449</v>
      </c>
      <c r="R75" s="258">
        <f>IFERROR(VLOOKUP(A75,CFR20212022_BenchMarkDataReport!$B$4:$CL$90,33,0),0)</f>
        <v>0</v>
      </c>
      <c r="S75" s="258">
        <f>IFERROR(VLOOKUP(A75,CFR20212022_BenchMarkDataReport!$B$4:$CL$90,34,0),0)</f>
        <v>0</v>
      </c>
      <c r="T75" s="258">
        <f>IFERROR(VLOOKUP(A75,CFR20212022_BenchMarkDataReport!$B$4:$CL$90,35,0),0)</f>
        <v>0</v>
      </c>
      <c r="U75" s="258">
        <f t="shared" si="152"/>
        <v>65924.399999999994</v>
      </c>
      <c r="V75" s="258">
        <f>IFERROR(VLOOKUP(A75,CFR20212022_BenchMarkDataReport!$B$4:$CL$90,40,0),0)</f>
        <v>618049.97</v>
      </c>
      <c r="W75" s="258">
        <f>IFERROR(VLOOKUP(A75,CFR20212022_BenchMarkDataReport!$B$4:$CL$90,41,0),0)</f>
        <v>0</v>
      </c>
      <c r="X75" s="258">
        <f>IFERROR(VLOOKUP(A75,CFR20212022_BenchMarkDataReport!$B$4:$CL$90,42,0),0)</f>
        <v>170981.2</v>
      </c>
      <c r="Y75" s="258">
        <f>IFERROR(VLOOKUP(A75,CFR20212022_BenchMarkDataReport!$B$4:$CL$90,43,0),0)</f>
        <v>26919.88</v>
      </c>
      <c r="Z75" s="258">
        <f>IFERROR(VLOOKUP(A75,CFR20212022_BenchMarkDataReport!$B$4:$CL$90,44,0),0)</f>
        <v>47865.82</v>
      </c>
      <c r="AA75" s="258">
        <f>IFERROR(VLOOKUP(A75,CFR20212022_BenchMarkDataReport!$B$4:$CL$90,45,0),0)</f>
        <v>0</v>
      </c>
      <c r="AB75" s="258">
        <f>IFERROR(VLOOKUP(A75,CFR20212022_BenchMarkDataReport!$B$4:$CL$90,46,0),0)</f>
        <v>22148.91</v>
      </c>
      <c r="AC75" s="258">
        <f>IFERROR(VLOOKUP(A75,CFR20212022_BenchMarkDataReport!$B$4:$CL$90,47,0),0)</f>
        <v>3782.5</v>
      </c>
      <c r="AD75" s="258">
        <f>IFERROR(VLOOKUP(A75,CFR20212022_BenchMarkDataReport!$B$4:$CL$90,48,0),0)</f>
        <v>3617.57</v>
      </c>
      <c r="AE75" s="258">
        <f>IFERROR(VLOOKUP(A75,CFR20212022_BenchMarkDataReport!$B$4:$CL$90,49,0),0)</f>
        <v>347.68</v>
      </c>
      <c r="AF75" s="258">
        <f>IFERROR(VLOOKUP(A75,CFR20212022_BenchMarkDataReport!$B$4:$CL$90,50,0),0)</f>
        <v>900</v>
      </c>
      <c r="AG75" s="258">
        <f>IFERROR(VLOOKUP(A75,CFR20212022_BenchMarkDataReport!$B$4:$CL$90,51,0),0)</f>
        <v>11109.93</v>
      </c>
      <c r="AH75" s="258">
        <f>IFERROR(VLOOKUP(A75,CFR20212022_BenchMarkDataReport!$B$4:$CL$90,52,0),0)</f>
        <v>245.74</v>
      </c>
      <c r="AI75" s="258">
        <f>IFERROR(VLOOKUP(A75,CFR20212022_BenchMarkDataReport!$B$4:$CL$90,53,0),0)</f>
        <v>10686.52</v>
      </c>
      <c r="AJ75" s="258">
        <f>IFERROR(VLOOKUP(A75,CFR20212022_BenchMarkDataReport!$B$4:$CL$90,54,0),0)</f>
        <v>2163.96</v>
      </c>
      <c r="AK75" s="258">
        <f>IFERROR(VLOOKUP(A75,CFR20212022_BenchMarkDataReport!$B$4:$CL$90,55,0),0)</f>
        <v>17968.919999999998</v>
      </c>
      <c r="AL75" s="258">
        <f>IFERROR(VLOOKUP(A75,CFR20212022_BenchMarkDataReport!$B$4:$CL$90,56,0),0)</f>
        <v>0</v>
      </c>
      <c r="AM75" s="258">
        <f>IFERROR(VLOOKUP(A75,CFR20212022_BenchMarkDataReport!$B$4:$CL$90,57,0),0)</f>
        <v>10873.71</v>
      </c>
      <c r="AN75" s="258">
        <f>IFERROR(VLOOKUP(A75,CFR20212022_BenchMarkDataReport!$B$4:$CL$90,58,0),0)</f>
        <v>58388.17</v>
      </c>
      <c r="AO75" s="258">
        <f>IFERROR(VLOOKUP(A75,CFR20212022_BenchMarkDataReport!$B$4:$CL$90,59,0),0)</f>
        <v>9407.6200000000008</v>
      </c>
      <c r="AP75" s="258">
        <f>IFERROR(VLOOKUP(A75,CFR20212022_BenchMarkDataReport!$B$4:$CL$90,60,0),0)</f>
        <v>0</v>
      </c>
      <c r="AQ75" s="258">
        <f>IFERROR(VLOOKUP(A75,CFR20212022_BenchMarkDataReport!$B$4:$CL$90,61,0),0)</f>
        <v>7197.05</v>
      </c>
      <c r="AR75" s="258">
        <f>IFERROR(VLOOKUP(A75,CFR20212022_BenchMarkDataReport!$B$4:$CL$90,62,0),0)</f>
        <v>10181.25</v>
      </c>
      <c r="AS75" s="258">
        <f>IFERROR(VLOOKUP(A75,CFR20212022_BenchMarkDataReport!$B$4:$CL$90,63,0),0)</f>
        <v>8781.36</v>
      </c>
      <c r="AT75" s="258">
        <f>IFERROR(VLOOKUP(A75,CFR20212022_BenchMarkDataReport!$B$4:$CL$90,64,0),0)</f>
        <v>53202.66</v>
      </c>
      <c r="AU75" s="258">
        <f>IFERROR(VLOOKUP(A75,CFR20212022_BenchMarkDataReport!$B$4:$CL$90,65,0),0)</f>
        <v>28957.5</v>
      </c>
      <c r="AV75" s="258">
        <f>IFERROR(VLOOKUP(A75,CFR20212022_BenchMarkDataReport!$B$4:$CL$90,66,0),0)</f>
        <v>61692.54</v>
      </c>
      <c r="AW75" s="258">
        <f>IFERROR(VLOOKUP(A75,CFR20212022_BenchMarkDataReport!$B$4:$CL$90,67,0),0)</f>
        <v>59964.15</v>
      </c>
      <c r="AX75" s="258">
        <f>IFERROR(VLOOKUP(A75,CFR20212022_BenchMarkDataReport!$B$4:$CL$90,68,0),0)</f>
        <v>0</v>
      </c>
      <c r="AY75" s="258">
        <f>IFERROR(VLOOKUP(A75,CFR20212022_BenchMarkDataReport!$B$4:$CL$90,69,0),0)</f>
        <v>0</v>
      </c>
      <c r="AZ75" s="258">
        <f>IFERROR(VLOOKUP(A75,CFR20212022_BenchMarkDataReport!$B$4:$CL$90,70,0),0)</f>
        <v>0</v>
      </c>
      <c r="BA75" s="258">
        <f>IFERROR(VLOOKUP(A75,CFR20212022_BenchMarkDataReport!$B$4:$CL$90,71,0),0)</f>
        <v>0</v>
      </c>
      <c r="BB75" s="258">
        <f>IFERROR(VLOOKUP(A75,CFR20212022_BenchMarkDataReport!$B$4:$CL$90,72,0),0)</f>
        <v>0</v>
      </c>
      <c r="BC75" s="259">
        <f t="shared" si="159"/>
        <v>1232897.71</v>
      </c>
      <c r="BD75" s="260">
        <f t="shared" si="154"/>
        <v>1245434.6099999999</v>
      </c>
      <c r="BE75" s="300">
        <f t="shared" si="155"/>
        <v>-12536.899999999907</v>
      </c>
      <c r="BF75" s="258">
        <f>IFERROR(VLOOKUP(A75,CFR20212022_BenchMarkDataReport!$B$4:$CL$90,16,0),0)</f>
        <v>47709.62</v>
      </c>
      <c r="BG75" s="300">
        <f t="shared" si="156"/>
        <v>35172.720000000096</v>
      </c>
      <c r="BH75" s="261">
        <f>IFERROR(VLOOKUP(A75,'Pupil Nos BenchmarkData 21-22'!$A$6:$E$94,5,0),0)</f>
        <v>210</v>
      </c>
      <c r="BI75" s="260">
        <f t="shared" si="153"/>
        <v>1025231.38</v>
      </c>
      <c r="BJ75" s="227" t="s">
        <v>183</v>
      </c>
      <c r="BK75" s="262">
        <f t="shared" si="160"/>
        <v>0.78588862818148963</v>
      </c>
      <c r="BL75" s="263">
        <f t="shared" si="161"/>
        <v>4613.9061428571431</v>
      </c>
      <c r="BM75" s="264">
        <f t="shared" si="162"/>
        <v>0</v>
      </c>
      <c r="BN75" s="265">
        <f t="shared" si="163"/>
        <v>0</v>
      </c>
      <c r="BO75" s="262">
        <f t="shared" si="164"/>
        <v>4.5673772887452273E-2</v>
      </c>
      <c r="BP75" s="263">
        <f t="shared" si="165"/>
        <v>268.14804761904759</v>
      </c>
      <c r="BQ75" s="264">
        <f t="shared" si="166"/>
        <v>0</v>
      </c>
      <c r="BR75" s="265">
        <f t="shared" si="167"/>
        <v>0</v>
      </c>
      <c r="BS75" s="262">
        <f t="shared" si="168"/>
        <v>2.5565770577998723E-2</v>
      </c>
      <c r="BT75" s="263">
        <f t="shared" si="169"/>
        <v>150.09514285714286</v>
      </c>
      <c r="BU75" s="264">
        <f t="shared" si="170"/>
        <v>1.175279983284258E-3</v>
      </c>
      <c r="BV75" s="265">
        <f t="shared" si="171"/>
        <v>6.9</v>
      </c>
      <c r="BW75" s="262">
        <f t="shared" si="172"/>
        <v>2.8535132894358287E-2</v>
      </c>
      <c r="BX75" s="263">
        <f t="shared" si="173"/>
        <v>167.52809523809523</v>
      </c>
      <c r="BY75" s="264">
        <f t="shared" si="174"/>
        <v>2.3736997613532759E-2</v>
      </c>
      <c r="BZ75" s="266">
        <f t="shared" si="175"/>
        <v>139.3585238095238</v>
      </c>
      <c r="CA75" s="267">
        <f t="shared" si="176"/>
        <v>1.6906682388111501E-2</v>
      </c>
      <c r="CB75" s="268">
        <f t="shared" si="177"/>
        <v>99.258142857142857</v>
      </c>
      <c r="CC75" s="264">
        <f t="shared" si="178"/>
        <v>2.797474577189376E-3</v>
      </c>
      <c r="CD75" s="265">
        <f t="shared" si="179"/>
        <v>16.423809523809524</v>
      </c>
      <c r="CE75" s="269">
        <f t="shared" si="180"/>
        <v>0.63108434117574508</v>
      </c>
      <c r="CF75" s="267">
        <f t="shared" si="181"/>
        <v>0.52478601002511394</v>
      </c>
      <c r="CG75" s="267">
        <f t="shared" si="182"/>
        <v>0.51950336437173528</v>
      </c>
      <c r="CH75" s="268">
        <f t="shared" si="183"/>
        <v>3080.9879523809523</v>
      </c>
      <c r="CI75" s="264">
        <f t="shared" si="184"/>
        <v>0.16677327999851119</v>
      </c>
      <c r="CJ75" s="270">
        <f t="shared" si="185"/>
        <v>0.1386823891497049</v>
      </c>
      <c r="CK75" s="270">
        <f t="shared" si="186"/>
        <v>0.13728637266632571</v>
      </c>
      <c r="CL75" s="271">
        <f t="shared" si="187"/>
        <v>814.19619047619051</v>
      </c>
      <c r="CM75" s="269">
        <f t="shared" si="188"/>
        <v>2.6257370311860723E-2</v>
      </c>
      <c r="CN75" s="267">
        <f t="shared" si="189"/>
        <v>2.1834641902287257E-2</v>
      </c>
      <c r="CO75" s="267">
        <f t="shared" si="190"/>
        <v>2.1614848169347087E-2</v>
      </c>
      <c r="CP75" s="268">
        <f t="shared" si="191"/>
        <v>128.18990476190476</v>
      </c>
      <c r="CQ75" s="264">
        <f t="shared" si="192"/>
        <v>4.6687821826132556E-2</v>
      </c>
      <c r="CR75" s="270">
        <f t="shared" si="193"/>
        <v>3.8823837218417742E-2</v>
      </c>
      <c r="CS75" s="270">
        <f t="shared" si="194"/>
        <v>3.8433025399864235E-2</v>
      </c>
      <c r="CT75" s="265">
        <f t="shared" si="195"/>
        <v>227.93247619047619</v>
      </c>
      <c r="CU75" s="269">
        <f t="shared" si="196"/>
        <v>0.86416178560589896</v>
      </c>
      <c r="CV75" s="267">
        <f t="shared" si="197"/>
        <v>0.71860444935046552</v>
      </c>
      <c r="CW75" s="267">
        <f t="shared" si="198"/>
        <v>0.71137077200705057</v>
      </c>
      <c r="CX75" s="268">
        <f t="shared" si="199"/>
        <v>4218.8846666666659</v>
      </c>
      <c r="CY75" s="264">
        <f t="shared" si="200"/>
        <v>1.0836509900818681E-2</v>
      </c>
      <c r="CZ75" s="270">
        <f t="shared" si="201"/>
        <v>8.9205245388194257E-3</v>
      </c>
      <c r="DA75" s="265">
        <f t="shared" si="202"/>
        <v>52.904428571428575</v>
      </c>
      <c r="DB75" s="269">
        <f t="shared" si="203"/>
        <v>1.737513943024275E-3</v>
      </c>
      <c r="DC75" s="268">
        <f t="shared" si="204"/>
        <v>10.304571428571428</v>
      </c>
      <c r="DD75" s="264">
        <f t="shared" si="205"/>
        <v>1.752669724174849E-2</v>
      </c>
      <c r="DE75" s="270">
        <f t="shared" si="206"/>
        <v>1.4427830940076412E-2</v>
      </c>
      <c r="DF75" s="265">
        <f t="shared" si="207"/>
        <v>85.566285714285712</v>
      </c>
      <c r="DG75" s="269">
        <f t="shared" si="208"/>
        <v>1.0606103375415605E-2</v>
      </c>
      <c r="DH75" s="267">
        <f t="shared" si="209"/>
        <v>8.7308558094430985E-3</v>
      </c>
      <c r="DI75" s="272">
        <f t="shared" si="210"/>
        <v>51.779571428571423</v>
      </c>
      <c r="DJ75" s="264">
        <f t="shared" si="211"/>
        <v>5.6951212320481254E-2</v>
      </c>
      <c r="DK75" s="270">
        <f t="shared" si="212"/>
        <v>4.73584868610065E-2</v>
      </c>
      <c r="DL75" s="270">
        <f t="shared" si="213"/>
        <v>4.6881762824946709E-2</v>
      </c>
      <c r="DM75" s="265">
        <f t="shared" si="214"/>
        <v>278.03890476190475</v>
      </c>
      <c r="DN75" s="269">
        <f t="shared" si="215"/>
        <v>7.0199275406494094E-3</v>
      </c>
      <c r="DO75" s="267">
        <f t="shared" si="216"/>
        <v>5.7787457825666183E-3</v>
      </c>
      <c r="DP75" s="268">
        <f t="shared" si="217"/>
        <v>34.271666666666668</v>
      </c>
      <c r="DQ75" s="264">
        <f t="shared" si="218"/>
        <v>6.0174260370376098E-2</v>
      </c>
      <c r="DR75" s="270">
        <f t="shared" si="219"/>
        <v>4.9534949088977064E-2</v>
      </c>
      <c r="DS75" s="265">
        <f t="shared" si="220"/>
        <v>293.774</v>
      </c>
      <c r="DT75" s="269">
        <f t="shared" si="221"/>
        <v>4.2718148004574893E-2</v>
      </c>
      <c r="DU75" s="268">
        <f t="shared" si="222"/>
        <v>253.346</v>
      </c>
      <c r="DV75" s="264">
        <f t="shared" si="157"/>
        <v>8.5805548634946011E-3</v>
      </c>
      <c r="DW75" s="265">
        <f t="shared" si="158"/>
        <v>50.888190476190481</v>
      </c>
      <c r="DX75" s="264">
        <f t="shared" si="223"/>
        <v>2.0483181074695548E-5</v>
      </c>
      <c r="DY75" s="270">
        <f t="shared" si="224"/>
        <v>1.703304323600374E-5</v>
      </c>
      <c r="DZ75" s="270">
        <f t="shared" si="225"/>
        <v>1.6861583764722905E-5</v>
      </c>
      <c r="EA75" s="265">
        <f t="shared" si="226"/>
        <v>0.1</v>
      </c>
      <c r="EB75" s="273">
        <f>IFERROR(VLOOKUP(A75,'BARNET SCHS PUPIL PREMIUM Nos'!$E$31:$V$117,17,0),0)</f>
        <v>21</v>
      </c>
      <c r="EC75" s="258">
        <f>IFERROR(VLOOKUP(A75,CFR20212022_BenchMarkDataReport!$B$4:$CL$90,36,0),0)</f>
        <v>0</v>
      </c>
      <c r="ED75" s="258">
        <f>IFERROR(VLOOKUP(A75,CFR20212022_BenchMarkDataReport!$B$4:$CL$90,37,0),0)</f>
        <v>4673.83</v>
      </c>
      <c r="EE75" s="258">
        <f>IFERROR(VLOOKUP(A75,CFR20212022_BenchMarkDataReport!$B$4:$CL$90,38,0),0)</f>
        <v>7060</v>
      </c>
      <c r="EF75" s="258">
        <f>IFERROR(VLOOKUP(A75,CFR20212022_BenchMarkDataReport!$B$4:$CL$90,39,0),0)</f>
        <v>54190.57</v>
      </c>
      <c r="EG75" s="227"/>
    </row>
    <row r="76" spans="1:137" s="5" customFormat="1">
      <c r="A76" s="147">
        <v>2055</v>
      </c>
      <c r="B76" s="298">
        <v>10101</v>
      </c>
      <c r="C76" s="147" t="s">
        <v>104</v>
      </c>
      <c r="D76" s="258">
        <f>IFERROR(VLOOKUP(A76,CFR20212022_BenchMarkDataReport!$B$4:$CL$90,19,0),0)</f>
        <v>1194319.03</v>
      </c>
      <c r="E76" s="258">
        <f>IFERROR(VLOOKUP(A76,CFR20212022_BenchMarkDataReport!$B$4:$CL$90,20,0),0)</f>
        <v>0</v>
      </c>
      <c r="F76" s="258">
        <f>IFERROR(VLOOKUP(A76,CFR20212022_BenchMarkDataReport!$B$4:$CL$90,21,0),0)</f>
        <v>67623.070000000007</v>
      </c>
      <c r="G76" s="258">
        <f>IFERROR(VLOOKUP(A76,CFR20212022_BenchMarkDataReport!$B$4:$CL$90,22,0),0)</f>
        <v>0</v>
      </c>
      <c r="H76" s="258">
        <f>IFERROR(VLOOKUP(A76,CFR20212022_BenchMarkDataReport!$B$4:$CL$90,23,0),0)</f>
        <v>103565.04</v>
      </c>
      <c r="I76" s="258">
        <f>IFERROR(VLOOKUP(A76,CFR20212022_BenchMarkDataReport!$B$4:$CL$90,24,0),0)</f>
        <v>7500</v>
      </c>
      <c r="J76" s="258">
        <f>IFERROR(VLOOKUP(A76,CFR20212022_BenchMarkDataReport!$B$4:$CL$90,25,0),0)</f>
        <v>4497.95</v>
      </c>
      <c r="K76" s="258">
        <f>IFERROR(VLOOKUP(A76,CFR20212022_BenchMarkDataReport!$B$4:$CL$90,26,0),0)</f>
        <v>16275</v>
      </c>
      <c r="L76" s="258">
        <f>IFERROR(VLOOKUP(A76,CFR20212022_BenchMarkDataReport!$B$4:$CL$90,27,0),0)</f>
        <v>13858.51</v>
      </c>
      <c r="M76" s="258">
        <f>IFERROR(VLOOKUP(A76,CFR20212022_BenchMarkDataReport!$B$4:$CL$90,28,0),0)</f>
        <v>12746.73</v>
      </c>
      <c r="N76" s="258">
        <f>IFERROR(VLOOKUP(A76,CFR20212022_BenchMarkDataReport!$B$4:$CL$90,29,0),0)</f>
        <v>0</v>
      </c>
      <c r="O76" s="258">
        <f>IFERROR(VLOOKUP(A76,CFR20212022_BenchMarkDataReport!$B$4:$CL$90,30,0),0)</f>
        <v>5571.6</v>
      </c>
      <c r="P76" s="258">
        <f>IFERROR(VLOOKUP(A76,CFR20212022_BenchMarkDataReport!$B$4:$CL$90,31,0),0)</f>
        <v>2873.74</v>
      </c>
      <c r="Q76" s="258">
        <f>IFERROR(VLOOKUP(A76,CFR20212022_BenchMarkDataReport!$B$4:$CL$90,32,0),0)</f>
        <v>3456.44</v>
      </c>
      <c r="R76" s="258">
        <f>IFERROR(VLOOKUP(A76,CFR20212022_BenchMarkDataReport!$B$4:$CL$90,33,0),0)</f>
        <v>0</v>
      </c>
      <c r="S76" s="258">
        <f>IFERROR(VLOOKUP(A76,CFR20212022_BenchMarkDataReport!$B$4:$CL$90,34,0),0)</f>
        <v>0</v>
      </c>
      <c r="T76" s="258">
        <f>IFERROR(VLOOKUP(A76,CFR20212022_BenchMarkDataReport!$B$4:$CL$90,35,0),0)</f>
        <v>0</v>
      </c>
      <c r="U76" s="258">
        <f t="shared" si="152"/>
        <v>74123.67</v>
      </c>
      <c r="V76" s="258">
        <f>IFERROR(VLOOKUP(A76,CFR20212022_BenchMarkDataReport!$B$4:$CL$90,40,0),0)</f>
        <v>692741.23</v>
      </c>
      <c r="W76" s="258">
        <f>IFERROR(VLOOKUP(A76,CFR20212022_BenchMarkDataReport!$B$4:$CL$90,41,0),0)</f>
        <v>0</v>
      </c>
      <c r="X76" s="258">
        <f>IFERROR(VLOOKUP(A76,CFR20212022_BenchMarkDataReport!$B$4:$CL$90,42,0),0)</f>
        <v>272640.46999999997</v>
      </c>
      <c r="Y76" s="258">
        <f>IFERROR(VLOOKUP(A76,CFR20212022_BenchMarkDataReport!$B$4:$CL$90,43,0),0)</f>
        <v>17958.439999999999</v>
      </c>
      <c r="Z76" s="258">
        <f>IFERROR(VLOOKUP(A76,CFR20212022_BenchMarkDataReport!$B$4:$CL$90,44,0),0)</f>
        <v>59882.96</v>
      </c>
      <c r="AA76" s="258">
        <f>IFERROR(VLOOKUP(A76,CFR20212022_BenchMarkDataReport!$B$4:$CL$90,45,0),0)</f>
        <v>0</v>
      </c>
      <c r="AB76" s="258">
        <f>IFERROR(VLOOKUP(A76,CFR20212022_BenchMarkDataReport!$B$4:$CL$90,46,0),0)</f>
        <v>42343.42</v>
      </c>
      <c r="AC76" s="258">
        <f>IFERROR(VLOOKUP(A76,CFR20212022_BenchMarkDataReport!$B$4:$CL$90,47,0),0)</f>
        <v>11998.09</v>
      </c>
      <c r="AD76" s="258">
        <f>IFERROR(VLOOKUP(A76,CFR20212022_BenchMarkDataReport!$B$4:$CL$90,48,0),0)</f>
        <v>1700</v>
      </c>
      <c r="AE76" s="258">
        <f>IFERROR(VLOOKUP(A76,CFR20212022_BenchMarkDataReport!$B$4:$CL$90,49,0),0)</f>
        <v>328</v>
      </c>
      <c r="AF76" s="258">
        <f>IFERROR(VLOOKUP(A76,CFR20212022_BenchMarkDataReport!$B$4:$CL$90,50,0),0)</f>
        <v>541</v>
      </c>
      <c r="AG76" s="258">
        <f>IFERROR(VLOOKUP(A76,CFR20212022_BenchMarkDataReport!$B$4:$CL$90,51,0),0)</f>
        <v>9047.85</v>
      </c>
      <c r="AH76" s="258">
        <f>IFERROR(VLOOKUP(A76,CFR20212022_BenchMarkDataReport!$B$4:$CL$90,52,0),0)</f>
        <v>4353.1000000000004</v>
      </c>
      <c r="AI76" s="258">
        <f>IFERROR(VLOOKUP(A76,CFR20212022_BenchMarkDataReport!$B$4:$CL$90,53,0),0)</f>
        <v>26344.02</v>
      </c>
      <c r="AJ76" s="258">
        <f>IFERROR(VLOOKUP(A76,CFR20212022_BenchMarkDataReport!$B$4:$CL$90,54,0),0)</f>
        <v>6868.79</v>
      </c>
      <c r="AK76" s="258">
        <f>IFERROR(VLOOKUP(A76,CFR20212022_BenchMarkDataReport!$B$4:$CL$90,55,0),0)</f>
        <v>26276.560000000001</v>
      </c>
      <c r="AL76" s="258">
        <f>IFERROR(VLOOKUP(A76,CFR20212022_BenchMarkDataReport!$B$4:$CL$90,56,0),0)</f>
        <v>26112</v>
      </c>
      <c r="AM76" s="258">
        <f>IFERROR(VLOOKUP(A76,CFR20212022_BenchMarkDataReport!$B$4:$CL$90,57,0),0)</f>
        <v>11374.73</v>
      </c>
      <c r="AN76" s="258">
        <f>IFERROR(VLOOKUP(A76,CFR20212022_BenchMarkDataReport!$B$4:$CL$90,58,0),0)</f>
        <v>24301.94</v>
      </c>
      <c r="AO76" s="258">
        <f>IFERROR(VLOOKUP(A76,CFR20212022_BenchMarkDataReport!$B$4:$CL$90,59,0),0)</f>
        <v>8361.44</v>
      </c>
      <c r="AP76" s="258">
        <f>IFERROR(VLOOKUP(A76,CFR20212022_BenchMarkDataReport!$B$4:$CL$90,60,0),0)</f>
        <v>0</v>
      </c>
      <c r="AQ76" s="258">
        <f>IFERROR(VLOOKUP(A76,CFR20212022_BenchMarkDataReport!$B$4:$CL$90,61,0),0)</f>
        <v>12309.3</v>
      </c>
      <c r="AR76" s="258">
        <f>IFERROR(VLOOKUP(A76,CFR20212022_BenchMarkDataReport!$B$4:$CL$90,62,0),0)</f>
        <v>5774</v>
      </c>
      <c r="AS76" s="258">
        <f>IFERROR(VLOOKUP(A76,CFR20212022_BenchMarkDataReport!$B$4:$CL$90,63,0),0)</f>
        <v>9153.73</v>
      </c>
      <c r="AT76" s="258">
        <f>IFERROR(VLOOKUP(A76,CFR20212022_BenchMarkDataReport!$B$4:$CL$90,64,0),0)</f>
        <v>61852.7</v>
      </c>
      <c r="AU76" s="258">
        <f>IFERROR(VLOOKUP(A76,CFR20212022_BenchMarkDataReport!$B$4:$CL$90,65,0),0)</f>
        <v>50091.35</v>
      </c>
      <c r="AV76" s="258">
        <f>IFERROR(VLOOKUP(A76,CFR20212022_BenchMarkDataReport!$B$4:$CL$90,66,0),0)</f>
        <v>122387.98</v>
      </c>
      <c r="AW76" s="258">
        <f>IFERROR(VLOOKUP(A76,CFR20212022_BenchMarkDataReport!$B$4:$CL$90,67,0),0)</f>
        <v>36507.71</v>
      </c>
      <c r="AX76" s="258">
        <f>IFERROR(VLOOKUP(A76,CFR20212022_BenchMarkDataReport!$B$4:$CL$90,68,0),0)</f>
        <v>0</v>
      </c>
      <c r="AY76" s="258">
        <f>IFERROR(VLOOKUP(A76,CFR20212022_BenchMarkDataReport!$B$4:$CL$90,69,0),0)</f>
        <v>0</v>
      </c>
      <c r="AZ76" s="258">
        <f>IFERROR(VLOOKUP(A76,CFR20212022_BenchMarkDataReport!$B$4:$CL$90,70,0),0)</f>
        <v>0</v>
      </c>
      <c r="BA76" s="258">
        <f>IFERROR(VLOOKUP(A76,CFR20212022_BenchMarkDataReport!$B$4:$CL$90,71,0),0)</f>
        <v>0</v>
      </c>
      <c r="BB76" s="258">
        <f>IFERROR(VLOOKUP(A76,CFR20212022_BenchMarkDataReport!$B$4:$CL$90,72,0),0)</f>
        <v>0</v>
      </c>
      <c r="BC76" s="259">
        <f t="shared" si="159"/>
        <v>1506410.78</v>
      </c>
      <c r="BD76" s="260">
        <f t="shared" si="154"/>
        <v>1541250.81</v>
      </c>
      <c r="BE76" s="300">
        <f t="shared" si="155"/>
        <v>-34840.030000000028</v>
      </c>
      <c r="BF76" s="258">
        <f>IFERROR(VLOOKUP(A76,CFR20212022_BenchMarkDataReport!$B$4:$CL$90,16,0),0)</f>
        <v>-64430.86</v>
      </c>
      <c r="BG76" s="300">
        <f t="shared" si="156"/>
        <v>-99270.890000000029</v>
      </c>
      <c r="BH76" s="261">
        <f>IFERROR(VLOOKUP(A76,'Pupil Nos BenchmarkData 21-22'!$A$6:$E$94,5,0),0)</f>
        <v>232</v>
      </c>
      <c r="BI76" s="260">
        <f t="shared" si="153"/>
        <v>1261942.1000000001</v>
      </c>
      <c r="BJ76" s="227" t="s">
        <v>183</v>
      </c>
      <c r="BK76" s="262">
        <f t="shared" si="160"/>
        <v>0.79282427200899341</v>
      </c>
      <c r="BL76" s="263">
        <f t="shared" si="161"/>
        <v>5147.9268534482762</v>
      </c>
      <c r="BM76" s="264">
        <f t="shared" si="162"/>
        <v>0</v>
      </c>
      <c r="BN76" s="265">
        <f t="shared" si="163"/>
        <v>0</v>
      </c>
      <c r="BO76" s="262">
        <f t="shared" si="164"/>
        <v>4.4890192567527964E-2</v>
      </c>
      <c r="BP76" s="263">
        <f t="shared" si="165"/>
        <v>291.47875000000005</v>
      </c>
      <c r="BQ76" s="264">
        <f t="shared" si="166"/>
        <v>0</v>
      </c>
      <c r="BR76" s="265">
        <f t="shared" si="167"/>
        <v>0</v>
      </c>
      <c r="BS76" s="262">
        <f t="shared" si="168"/>
        <v>6.8749534572502186E-2</v>
      </c>
      <c r="BT76" s="263">
        <f t="shared" si="169"/>
        <v>446.40103448275858</v>
      </c>
      <c r="BU76" s="264">
        <f t="shared" si="170"/>
        <v>4.9787216737787812E-3</v>
      </c>
      <c r="BV76" s="265">
        <f t="shared" si="171"/>
        <v>32.327586206896555</v>
      </c>
      <c r="BW76" s="262">
        <f t="shared" si="172"/>
        <v>2.9858721536764358E-3</v>
      </c>
      <c r="BX76" s="263">
        <f t="shared" si="173"/>
        <v>19.387715517241379</v>
      </c>
      <c r="BY76" s="264">
        <f t="shared" si="174"/>
        <v>2.0003514579203956E-2</v>
      </c>
      <c r="BZ76" s="266">
        <f t="shared" si="175"/>
        <v>129.88581896551725</v>
      </c>
      <c r="CA76" s="267">
        <f t="shared" si="176"/>
        <v>1.9076735497073379E-3</v>
      </c>
      <c r="CB76" s="268">
        <f t="shared" si="177"/>
        <v>12.386810344827586</v>
      </c>
      <c r="CC76" s="264">
        <f t="shared" si="178"/>
        <v>2.2944870322821245E-3</v>
      </c>
      <c r="CD76" s="265">
        <f t="shared" si="179"/>
        <v>14.898448275862069</v>
      </c>
      <c r="CE76" s="269">
        <f t="shared" si="180"/>
        <v>0.58864236322728269</v>
      </c>
      <c r="CF76" s="267">
        <f t="shared" si="181"/>
        <v>0.49311422213800138</v>
      </c>
      <c r="CG76" s="267">
        <f t="shared" si="182"/>
        <v>0.48196735740888269</v>
      </c>
      <c r="CH76" s="268">
        <f t="shared" si="183"/>
        <v>3201.8645689655173</v>
      </c>
      <c r="CI76" s="264">
        <f t="shared" si="184"/>
        <v>0.21604831949104475</v>
      </c>
      <c r="CJ76" s="270">
        <f t="shared" si="185"/>
        <v>0.18098680228509781</v>
      </c>
      <c r="CK76" s="270">
        <f t="shared" si="186"/>
        <v>0.17689558910921185</v>
      </c>
      <c r="CL76" s="271">
        <f t="shared" si="187"/>
        <v>1175.1744396551724</v>
      </c>
      <c r="CM76" s="269">
        <f t="shared" si="188"/>
        <v>1.4230795533329142E-2</v>
      </c>
      <c r="CN76" s="267">
        <f t="shared" si="189"/>
        <v>1.1921343260700776E-2</v>
      </c>
      <c r="CO76" s="267">
        <f t="shared" si="190"/>
        <v>1.1651860867472958E-2</v>
      </c>
      <c r="CP76" s="268">
        <f t="shared" si="191"/>
        <v>77.40706896551724</v>
      </c>
      <c r="CQ76" s="264">
        <f t="shared" si="192"/>
        <v>4.7453017059974456E-2</v>
      </c>
      <c r="CR76" s="270">
        <f t="shared" si="193"/>
        <v>3.9752078778937043E-2</v>
      </c>
      <c r="CS76" s="270">
        <f t="shared" si="194"/>
        <v>3.885348160822702E-2</v>
      </c>
      <c r="CT76" s="265">
        <f t="shared" si="195"/>
        <v>258.11620689655172</v>
      </c>
      <c r="CU76" s="269">
        <f t="shared" si="196"/>
        <v>0.86023480792026807</v>
      </c>
      <c r="CV76" s="267">
        <f t="shared" si="197"/>
        <v>0.72063114152701413</v>
      </c>
      <c r="CW76" s="267">
        <f t="shared" si="198"/>
        <v>0.70434124865115222</v>
      </c>
      <c r="CX76" s="268">
        <f t="shared" si="199"/>
        <v>4679.1660344827578</v>
      </c>
      <c r="CY76" s="264">
        <f t="shared" si="200"/>
        <v>7.1697821952370075E-3</v>
      </c>
      <c r="CZ76" s="270">
        <f t="shared" si="201"/>
        <v>5.8704592018997866E-3</v>
      </c>
      <c r="DA76" s="265">
        <f t="shared" si="202"/>
        <v>38.999353448275862</v>
      </c>
      <c r="DB76" s="269">
        <f t="shared" si="203"/>
        <v>4.4566335053540049E-3</v>
      </c>
      <c r="DC76" s="268">
        <f t="shared" si="204"/>
        <v>29.606853448275864</v>
      </c>
      <c r="DD76" s="264">
        <f t="shared" si="205"/>
        <v>2.0822318234727251E-2</v>
      </c>
      <c r="DE76" s="270">
        <f t="shared" si="206"/>
        <v>1.7048853975946979E-2</v>
      </c>
      <c r="DF76" s="265">
        <f t="shared" si="207"/>
        <v>113.26103448275863</v>
      </c>
      <c r="DG76" s="269">
        <f t="shared" si="208"/>
        <v>9.0136702785333801E-3</v>
      </c>
      <c r="DH76" s="267">
        <f t="shared" si="209"/>
        <v>7.3801940126798698E-3</v>
      </c>
      <c r="DI76" s="272">
        <f t="shared" si="210"/>
        <v>49.029008620689652</v>
      </c>
      <c r="DJ76" s="264">
        <f t="shared" si="211"/>
        <v>1.925757132597446E-2</v>
      </c>
      <c r="DK76" s="270">
        <f t="shared" si="212"/>
        <v>1.6132346052382868E-2</v>
      </c>
      <c r="DL76" s="270">
        <f t="shared" si="213"/>
        <v>1.576767378957614E-2</v>
      </c>
      <c r="DM76" s="265">
        <f t="shared" si="214"/>
        <v>104.74974137931034</v>
      </c>
      <c r="DN76" s="269">
        <f t="shared" si="215"/>
        <v>9.7542510072371764E-3</v>
      </c>
      <c r="DO76" s="267">
        <f t="shared" si="216"/>
        <v>7.9865651457467837E-3</v>
      </c>
      <c r="DP76" s="268">
        <f t="shared" si="217"/>
        <v>53.057327586206895</v>
      </c>
      <c r="DQ76" s="264">
        <f t="shared" si="218"/>
        <v>9.698383150859298E-2</v>
      </c>
      <c r="DR76" s="270">
        <f t="shared" si="219"/>
        <v>7.9408217796816588E-2</v>
      </c>
      <c r="DS76" s="265">
        <f t="shared" si="220"/>
        <v>527.53439655172417</v>
      </c>
      <c r="DT76" s="269">
        <f t="shared" si="221"/>
        <v>4.0131495535110209E-2</v>
      </c>
      <c r="DU76" s="268">
        <f t="shared" si="222"/>
        <v>266.60646551724136</v>
      </c>
      <c r="DV76" s="264">
        <f t="shared" si="157"/>
        <v>1.7092623620421649E-2</v>
      </c>
      <c r="DW76" s="265">
        <f t="shared" si="158"/>
        <v>113.55181034482759</v>
      </c>
      <c r="DX76" s="264">
        <f t="shared" si="223"/>
        <v>6.1017062510237196E-5</v>
      </c>
      <c r="DY76" s="270">
        <f t="shared" si="224"/>
        <v>5.1114875850795494E-5</v>
      </c>
      <c r="DZ76" s="270">
        <f t="shared" si="225"/>
        <v>4.9959422243547758E-5</v>
      </c>
      <c r="EA76" s="265">
        <f t="shared" si="226"/>
        <v>0.33189655172413796</v>
      </c>
      <c r="EB76" s="273">
        <f>IFERROR(VLOOKUP(A76,'BARNET SCHS PUPIL PREMIUM Nos'!$E$31:$V$117,17,0),0)</f>
        <v>77</v>
      </c>
      <c r="EC76" s="258">
        <f>IFERROR(VLOOKUP(A76,CFR20212022_BenchMarkDataReport!$B$4:$CL$90,36,0),0)</f>
        <v>0</v>
      </c>
      <c r="ED76" s="258">
        <f>IFERROR(VLOOKUP(A76,CFR20212022_BenchMarkDataReport!$B$4:$CL$90,37,0),0)</f>
        <v>0</v>
      </c>
      <c r="EE76" s="258">
        <f>IFERROR(VLOOKUP(A76,CFR20212022_BenchMarkDataReport!$B$4:$CL$90,38,0),0)</f>
        <v>31041</v>
      </c>
      <c r="EF76" s="258">
        <f>IFERROR(VLOOKUP(A76,CFR20212022_BenchMarkDataReport!$B$4:$CL$90,39,0),0)</f>
        <v>43082.67</v>
      </c>
      <c r="EG76" s="227"/>
    </row>
    <row r="77" spans="1:137" s="5" customFormat="1">
      <c r="A77" s="147">
        <v>2057</v>
      </c>
      <c r="B77" s="298">
        <v>10103</v>
      </c>
      <c r="C77" s="147" t="s">
        <v>105</v>
      </c>
      <c r="D77" s="258">
        <f>IFERROR(VLOOKUP(A77,CFR20212022_BenchMarkDataReport!$B$4:$CL$90,19,0),0)</f>
        <v>2443320.9300000002</v>
      </c>
      <c r="E77" s="258">
        <f>IFERROR(VLOOKUP(A77,CFR20212022_BenchMarkDataReport!$B$4:$CL$90,20,0),0)</f>
        <v>0</v>
      </c>
      <c r="F77" s="258">
        <f>IFERROR(VLOOKUP(A77,CFR20212022_BenchMarkDataReport!$B$4:$CL$90,21,0),0)</f>
        <v>172899.32</v>
      </c>
      <c r="G77" s="258">
        <f>IFERROR(VLOOKUP(A77,CFR20212022_BenchMarkDataReport!$B$4:$CL$90,22,0),0)</f>
        <v>0</v>
      </c>
      <c r="H77" s="258">
        <f>IFERROR(VLOOKUP(A77,CFR20212022_BenchMarkDataReport!$B$4:$CL$90,23,0),0)</f>
        <v>246685.18</v>
      </c>
      <c r="I77" s="258">
        <f>IFERROR(VLOOKUP(A77,CFR20212022_BenchMarkDataReport!$B$4:$CL$90,24,0),0)</f>
        <v>5125</v>
      </c>
      <c r="J77" s="258">
        <f>IFERROR(VLOOKUP(A77,CFR20212022_BenchMarkDataReport!$B$4:$CL$90,25,0),0)</f>
        <v>1000</v>
      </c>
      <c r="K77" s="258">
        <f>IFERROR(VLOOKUP(A77,CFR20212022_BenchMarkDataReport!$B$4:$CL$90,26,0),0)</f>
        <v>15494.59</v>
      </c>
      <c r="L77" s="258">
        <f>IFERROR(VLOOKUP(A77,CFR20212022_BenchMarkDataReport!$B$4:$CL$90,27,0),0)</f>
        <v>72160.91</v>
      </c>
      <c r="M77" s="258">
        <f>IFERROR(VLOOKUP(A77,CFR20212022_BenchMarkDataReport!$B$4:$CL$90,28,0),0)</f>
        <v>24489.03</v>
      </c>
      <c r="N77" s="258">
        <f>IFERROR(VLOOKUP(A77,CFR20212022_BenchMarkDataReport!$B$4:$CL$90,29,0),0)</f>
        <v>4968</v>
      </c>
      <c r="O77" s="258">
        <f>IFERROR(VLOOKUP(A77,CFR20212022_BenchMarkDataReport!$B$4:$CL$90,30,0),0)</f>
        <v>4288</v>
      </c>
      <c r="P77" s="258">
        <f>IFERROR(VLOOKUP(A77,CFR20212022_BenchMarkDataReport!$B$4:$CL$90,31,0),0)</f>
        <v>12810.43</v>
      </c>
      <c r="Q77" s="258">
        <f>IFERROR(VLOOKUP(A77,CFR20212022_BenchMarkDataReport!$B$4:$CL$90,32,0),0)</f>
        <v>10354.879999999999</v>
      </c>
      <c r="R77" s="258">
        <f>IFERROR(VLOOKUP(A77,CFR20212022_BenchMarkDataReport!$B$4:$CL$90,33,0),0)</f>
        <v>0</v>
      </c>
      <c r="S77" s="258">
        <f>IFERROR(VLOOKUP(A77,CFR20212022_BenchMarkDataReport!$B$4:$CL$90,34,0),0)</f>
        <v>187416</v>
      </c>
      <c r="T77" s="258">
        <f>IFERROR(VLOOKUP(A77,CFR20212022_BenchMarkDataReport!$B$4:$CL$90,35,0),0)</f>
        <v>0</v>
      </c>
      <c r="U77" s="258">
        <f t="shared" si="152"/>
        <v>77242.13</v>
      </c>
      <c r="V77" s="258">
        <f>IFERROR(VLOOKUP(A77,CFR20212022_BenchMarkDataReport!$B$4:$CL$90,40,0),0)</f>
        <v>1301356.22</v>
      </c>
      <c r="W77" s="258">
        <f>IFERROR(VLOOKUP(A77,CFR20212022_BenchMarkDataReport!$B$4:$CL$90,41,0),0)</f>
        <v>0</v>
      </c>
      <c r="X77" s="258">
        <f>IFERROR(VLOOKUP(A77,CFR20212022_BenchMarkDataReport!$B$4:$CL$90,42,0),0)</f>
        <v>943685.93</v>
      </c>
      <c r="Y77" s="258">
        <f>IFERROR(VLOOKUP(A77,CFR20212022_BenchMarkDataReport!$B$4:$CL$90,43,0),0)</f>
        <v>70946.8</v>
      </c>
      <c r="Z77" s="258">
        <f>IFERROR(VLOOKUP(A77,CFR20212022_BenchMarkDataReport!$B$4:$CL$90,44,0),0)</f>
        <v>105956.06</v>
      </c>
      <c r="AA77" s="258">
        <f>IFERROR(VLOOKUP(A77,CFR20212022_BenchMarkDataReport!$B$4:$CL$90,45,0),0)</f>
        <v>0</v>
      </c>
      <c r="AB77" s="258">
        <f>IFERROR(VLOOKUP(A77,CFR20212022_BenchMarkDataReport!$B$4:$CL$90,46,0),0)</f>
        <v>104281.91</v>
      </c>
      <c r="AC77" s="258">
        <f>IFERROR(VLOOKUP(A77,CFR20212022_BenchMarkDataReport!$B$4:$CL$90,47,0),0)</f>
        <v>18779.82</v>
      </c>
      <c r="AD77" s="258">
        <f>IFERROR(VLOOKUP(A77,CFR20212022_BenchMarkDataReport!$B$4:$CL$90,48,0),0)</f>
        <v>2080</v>
      </c>
      <c r="AE77" s="258">
        <f>IFERROR(VLOOKUP(A77,CFR20212022_BenchMarkDataReport!$B$4:$CL$90,49,0),0)</f>
        <v>20375.689999999999</v>
      </c>
      <c r="AF77" s="258">
        <f>IFERROR(VLOOKUP(A77,CFR20212022_BenchMarkDataReport!$B$4:$CL$90,50,0),0)</f>
        <v>0</v>
      </c>
      <c r="AG77" s="258">
        <f>IFERROR(VLOOKUP(A77,CFR20212022_BenchMarkDataReport!$B$4:$CL$90,51,0),0)</f>
        <v>22421.09</v>
      </c>
      <c r="AH77" s="258">
        <f>IFERROR(VLOOKUP(A77,CFR20212022_BenchMarkDataReport!$B$4:$CL$90,52,0),0)</f>
        <v>8262</v>
      </c>
      <c r="AI77" s="258">
        <f>IFERROR(VLOOKUP(A77,CFR20212022_BenchMarkDataReport!$B$4:$CL$90,53,0),0)</f>
        <v>10516.73</v>
      </c>
      <c r="AJ77" s="258">
        <f>IFERROR(VLOOKUP(A77,CFR20212022_BenchMarkDataReport!$B$4:$CL$90,54,0),0)</f>
        <v>-11711.91</v>
      </c>
      <c r="AK77" s="258">
        <f>IFERROR(VLOOKUP(A77,CFR20212022_BenchMarkDataReport!$B$4:$CL$90,55,0),0)</f>
        <v>33123.699999999997</v>
      </c>
      <c r="AL77" s="258">
        <f>IFERROR(VLOOKUP(A77,CFR20212022_BenchMarkDataReport!$B$4:$CL$90,56,0),0)</f>
        <v>56392</v>
      </c>
      <c r="AM77" s="258">
        <f>IFERROR(VLOOKUP(A77,CFR20212022_BenchMarkDataReport!$B$4:$CL$90,57,0),0)</f>
        <v>12949.94</v>
      </c>
      <c r="AN77" s="258">
        <f>IFERROR(VLOOKUP(A77,CFR20212022_BenchMarkDataReport!$B$4:$CL$90,58,0),0)</f>
        <v>53639.199999999997</v>
      </c>
      <c r="AO77" s="258">
        <f>IFERROR(VLOOKUP(A77,CFR20212022_BenchMarkDataReport!$B$4:$CL$90,59,0),0)</f>
        <v>10591.62</v>
      </c>
      <c r="AP77" s="258">
        <f>IFERROR(VLOOKUP(A77,CFR20212022_BenchMarkDataReport!$B$4:$CL$90,60,0),0)</f>
        <v>0</v>
      </c>
      <c r="AQ77" s="258">
        <f>IFERROR(VLOOKUP(A77,CFR20212022_BenchMarkDataReport!$B$4:$CL$90,61,0),0)</f>
        <v>24095.93</v>
      </c>
      <c r="AR77" s="258">
        <f>IFERROR(VLOOKUP(A77,CFR20212022_BenchMarkDataReport!$B$4:$CL$90,62,0),0)</f>
        <v>11007.88</v>
      </c>
      <c r="AS77" s="258">
        <f>IFERROR(VLOOKUP(A77,CFR20212022_BenchMarkDataReport!$B$4:$CL$90,63,0),0)</f>
        <v>26872.87</v>
      </c>
      <c r="AT77" s="258">
        <f>IFERROR(VLOOKUP(A77,CFR20212022_BenchMarkDataReport!$B$4:$CL$90,64,0),0)</f>
        <v>95552.15</v>
      </c>
      <c r="AU77" s="258">
        <f>IFERROR(VLOOKUP(A77,CFR20212022_BenchMarkDataReport!$B$4:$CL$90,65,0),0)</f>
        <v>98738.99</v>
      </c>
      <c r="AV77" s="258">
        <f>IFERROR(VLOOKUP(A77,CFR20212022_BenchMarkDataReport!$B$4:$CL$90,66,0),0)</f>
        <v>116665.59</v>
      </c>
      <c r="AW77" s="258">
        <f>IFERROR(VLOOKUP(A77,CFR20212022_BenchMarkDataReport!$B$4:$CL$90,67,0),0)</f>
        <v>27512.48</v>
      </c>
      <c r="AX77" s="258">
        <f>IFERROR(VLOOKUP(A77,CFR20212022_BenchMarkDataReport!$B$4:$CL$90,68,0),0)</f>
        <v>0</v>
      </c>
      <c r="AY77" s="258">
        <f>IFERROR(VLOOKUP(A77,CFR20212022_BenchMarkDataReport!$B$4:$CL$90,69,0),0)</f>
        <v>0</v>
      </c>
      <c r="AZ77" s="258">
        <f>IFERROR(VLOOKUP(A77,CFR20212022_BenchMarkDataReport!$B$4:$CL$90,70,0),0)</f>
        <v>0</v>
      </c>
      <c r="BA77" s="258">
        <f>IFERROR(VLOOKUP(A77,CFR20212022_BenchMarkDataReport!$B$4:$CL$90,71,0),0)</f>
        <v>135472.41</v>
      </c>
      <c r="BB77" s="258">
        <f>IFERROR(VLOOKUP(A77,CFR20212022_BenchMarkDataReport!$B$4:$CL$90,72,0),0)</f>
        <v>49049.21</v>
      </c>
      <c r="BC77" s="259">
        <f t="shared" si="159"/>
        <v>3090838.4</v>
      </c>
      <c r="BD77" s="260">
        <f t="shared" si="154"/>
        <v>3164092.69</v>
      </c>
      <c r="BE77" s="300">
        <f t="shared" si="155"/>
        <v>-73254.290000000037</v>
      </c>
      <c r="BF77" s="258">
        <f>IFERROR(VLOOKUP(A77,CFR20212022_BenchMarkDataReport!$B$4:$CL$90,16,0),0)</f>
        <v>105702.15</v>
      </c>
      <c r="BG77" s="300">
        <f t="shared" si="156"/>
        <v>32447.859999999957</v>
      </c>
      <c r="BH77" s="261">
        <f>IFERROR(VLOOKUP(A77,'Pupil Nos BenchmarkData 21-22'!$A$6:$E$94,5,0),0)</f>
        <v>511</v>
      </c>
      <c r="BI77" s="260">
        <f t="shared" si="153"/>
        <v>2616220.25</v>
      </c>
      <c r="BJ77" s="227" t="s">
        <v>183</v>
      </c>
      <c r="BK77" s="262">
        <f t="shared" si="160"/>
        <v>0.79050426253278083</v>
      </c>
      <c r="BL77" s="263">
        <f t="shared" si="161"/>
        <v>4781.4499608610568</v>
      </c>
      <c r="BM77" s="264">
        <f t="shared" si="162"/>
        <v>0</v>
      </c>
      <c r="BN77" s="265">
        <f t="shared" si="163"/>
        <v>0</v>
      </c>
      <c r="BO77" s="262">
        <f t="shared" si="164"/>
        <v>5.5939294658691963E-2</v>
      </c>
      <c r="BP77" s="263">
        <f t="shared" si="165"/>
        <v>338.35483365949119</v>
      </c>
      <c r="BQ77" s="264">
        <f t="shared" si="166"/>
        <v>0</v>
      </c>
      <c r="BR77" s="265">
        <f t="shared" si="167"/>
        <v>0</v>
      </c>
      <c r="BS77" s="262">
        <f t="shared" si="168"/>
        <v>7.9811736517832826E-2</v>
      </c>
      <c r="BT77" s="263">
        <f t="shared" si="169"/>
        <v>482.74986301369864</v>
      </c>
      <c r="BU77" s="264">
        <f t="shared" si="170"/>
        <v>1.6581261576147108E-3</v>
      </c>
      <c r="BV77" s="265">
        <f t="shared" si="171"/>
        <v>10.029354207436398</v>
      </c>
      <c r="BW77" s="262">
        <f t="shared" si="172"/>
        <v>3.2353681124189476E-4</v>
      </c>
      <c r="BX77" s="263">
        <f t="shared" si="173"/>
        <v>1.9569471624266144</v>
      </c>
      <c r="BY77" s="264">
        <f t="shared" si="174"/>
        <v>2.8359780957813906E-2</v>
      </c>
      <c r="BZ77" s="266">
        <f t="shared" si="175"/>
        <v>171.5371819960861</v>
      </c>
      <c r="CA77" s="267">
        <f t="shared" si="176"/>
        <v>4.1446456728375059E-3</v>
      </c>
      <c r="CB77" s="268">
        <f t="shared" si="177"/>
        <v>25.069334637964776</v>
      </c>
      <c r="CC77" s="264">
        <f t="shared" si="178"/>
        <v>3.3501848559924709E-3</v>
      </c>
      <c r="CD77" s="265">
        <f t="shared" si="179"/>
        <v>20.263953033268102</v>
      </c>
      <c r="CE77" s="269">
        <f t="shared" si="180"/>
        <v>0.53515953406445804</v>
      </c>
      <c r="CF77" s="267">
        <f t="shared" si="181"/>
        <v>0.45298233967845097</v>
      </c>
      <c r="CG77" s="267">
        <f t="shared" si="182"/>
        <v>0.44249500478445214</v>
      </c>
      <c r="CH77" s="268">
        <f t="shared" si="183"/>
        <v>2739.9123483365947</v>
      </c>
      <c r="CI77" s="264">
        <f t="shared" si="184"/>
        <v>0.36070584271335721</v>
      </c>
      <c r="CJ77" s="270">
        <f t="shared" si="185"/>
        <v>0.30531713660604193</v>
      </c>
      <c r="CK77" s="270">
        <f t="shared" si="186"/>
        <v>0.2982485099069585</v>
      </c>
      <c r="CL77" s="271">
        <f t="shared" si="187"/>
        <v>1846.7435029354208</v>
      </c>
      <c r="CM77" s="269">
        <f t="shared" si="188"/>
        <v>2.71180532296545E-2</v>
      </c>
      <c r="CN77" s="267">
        <f t="shared" si="189"/>
        <v>2.295390143981646E-2</v>
      </c>
      <c r="CO77" s="267">
        <f t="shared" si="190"/>
        <v>2.2422478400909298E-2</v>
      </c>
      <c r="CP77" s="268">
        <f t="shared" si="191"/>
        <v>138.83913894324854</v>
      </c>
      <c r="CQ77" s="264">
        <f t="shared" si="192"/>
        <v>4.0499671233719711E-2</v>
      </c>
      <c r="CR77" s="270">
        <f t="shared" si="193"/>
        <v>3.4280685784154878E-2</v>
      </c>
      <c r="CS77" s="270">
        <f t="shared" si="194"/>
        <v>3.3487027840515E-2</v>
      </c>
      <c r="CT77" s="265">
        <f t="shared" si="195"/>
        <v>207.35041095890409</v>
      </c>
      <c r="CU77" s="269">
        <f t="shared" si="196"/>
        <v>0.96560177607370778</v>
      </c>
      <c r="CV77" s="267">
        <f t="shared" si="197"/>
        <v>0.81732740217023314</v>
      </c>
      <c r="CW77" s="267">
        <f t="shared" si="198"/>
        <v>0.79840484066223738</v>
      </c>
      <c r="CX77" s="268">
        <f t="shared" si="199"/>
        <v>4943.6926027397258</v>
      </c>
      <c r="CY77" s="264">
        <f t="shared" si="200"/>
        <v>8.570031517797479E-3</v>
      </c>
      <c r="CZ77" s="270">
        <f t="shared" si="201"/>
        <v>7.0861040420405639E-3</v>
      </c>
      <c r="DA77" s="265">
        <f t="shared" si="202"/>
        <v>43.876888454011741</v>
      </c>
      <c r="DB77" s="269">
        <f t="shared" si="203"/>
        <v>-3.701506607886383E-3</v>
      </c>
      <c r="DC77" s="268">
        <f t="shared" si="204"/>
        <v>-22.91958904109589</v>
      </c>
      <c r="DD77" s="264">
        <f t="shared" si="205"/>
        <v>1.2660898867364091E-2</v>
      </c>
      <c r="DE77" s="270">
        <f t="shared" si="206"/>
        <v>1.0468625051562569E-2</v>
      </c>
      <c r="DF77" s="265">
        <f t="shared" si="207"/>
        <v>64.821330724070449</v>
      </c>
      <c r="DG77" s="269">
        <f t="shared" si="208"/>
        <v>4.9498661284347141E-3</v>
      </c>
      <c r="DH77" s="267">
        <f t="shared" si="209"/>
        <v>4.0927814918089523E-3</v>
      </c>
      <c r="DI77" s="272">
        <f t="shared" si="210"/>
        <v>25.342348336594913</v>
      </c>
      <c r="DJ77" s="264">
        <f t="shared" si="211"/>
        <v>2.050255516522357E-2</v>
      </c>
      <c r="DK77" s="270">
        <f t="shared" si="212"/>
        <v>1.7354255725566241E-2</v>
      </c>
      <c r="DL77" s="270">
        <f t="shared" si="213"/>
        <v>1.6952474296825986E-2</v>
      </c>
      <c r="DM77" s="265">
        <f t="shared" si="214"/>
        <v>104.96908023483365</v>
      </c>
      <c r="DN77" s="269">
        <f t="shared" si="215"/>
        <v>9.2102069770310813E-3</v>
      </c>
      <c r="DO77" s="267">
        <f t="shared" si="216"/>
        <v>7.615431139597873E-3</v>
      </c>
      <c r="DP77" s="268">
        <f t="shared" si="217"/>
        <v>47.154461839530335</v>
      </c>
      <c r="DQ77" s="264">
        <f t="shared" si="218"/>
        <v>4.459318362053042E-2</v>
      </c>
      <c r="DR77" s="270">
        <f t="shared" si="219"/>
        <v>3.6871735890897685E-2</v>
      </c>
      <c r="DS77" s="265">
        <f t="shared" si="220"/>
        <v>228.30839530332679</v>
      </c>
      <c r="DT77" s="269">
        <f t="shared" si="221"/>
        <v>3.0198909880860662E-2</v>
      </c>
      <c r="DU77" s="268">
        <f t="shared" si="222"/>
        <v>186.99050880626223</v>
      </c>
      <c r="DV77" s="264">
        <f t="shared" si="157"/>
        <v>3.3237743107961859E-3</v>
      </c>
      <c r="DW77" s="265">
        <f t="shared" si="158"/>
        <v>20.580684931506848</v>
      </c>
      <c r="DX77" s="264">
        <f t="shared" si="223"/>
        <v>6.9566008442905369E-5</v>
      </c>
      <c r="DY77" s="270">
        <f t="shared" si="224"/>
        <v>5.888369964602485E-5</v>
      </c>
      <c r="DZ77" s="270">
        <f t="shared" si="225"/>
        <v>5.7520438821278656E-5</v>
      </c>
      <c r="EA77" s="265">
        <f t="shared" si="226"/>
        <v>0.35616438356164382</v>
      </c>
      <c r="EB77" s="273">
        <f>IFERROR(VLOOKUP(A77,'BARNET SCHS PUPIL PREMIUM Nos'!$E$31:$V$117,17,0),0)</f>
        <v>182</v>
      </c>
      <c r="EC77" s="258">
        <f>IFERROR(VLOOKUP(A77,CFR20212022_BenchMarkDataReport!$B$4:$CL$90,36,0),0)</f>
        <v>0</v>
      </c>
      <c r="ED77" s="258">
        <f>IFERROR(VLOOKUP(A77,CFR20212022_BenchMarkDataReport!$B$4:$CL$90,37,0),0)</f>
        <v>0</v>
      </c>
      <c r="EE77" s="258">
        <f>IFERROR(VLOOKUP(A77,CFR20212022_BenchMarkDataReport!$B$4:$CL$90,38,0),0)</f>
        <v>21521.25</v>
      </c>
      <c r="EF77" s="258">
        <f>IFERROR(VLOOKUP(A77,CFR20212022_BenchMarkDataReport!$B$4:$CL$90,39,0),0)</f>
        <v>55720.88</v>
      </c>
      <c r="EG77" s="227"/>
    </row>
    <row r="78" spans="1:137" s="5" customFormat="1" ht="15.75" thickBot="1">
      <c r="A78" s="147">
        <v>2076</v>
      </c>
      <c r="B78" s="298">
        <v>10124</v>
      </c>
      <c r="C78" s="147" t="s">
        <v>107</v>
      </c>
      <c r="D78" s="258">
        <f>IFERROR(VLOOKUP(A78,CFR20212022_BenchMarkDataReport!$B$4:$CL$90,19,0),0)</f>
        <v>1950998.33</v>
      </c>
      <c r="E78" s="258">
        <f>IFERROR(VLOOKUP(A78,CFR20212022_BenchMarkDataReport!$B$4:$CL$90,20,0),0)</f>
        <v>0</v>
      </c>
      <c r="F78" s="258">
        <f>IFERROR(VLOOKUP(A78,CFR20212022_BenchMarkDataReport!$B$4:$CL$90,21,0),0)</f>
        <v>96958.29</v>
      </c>
      <c r="G78" s="258">
        <f>IFERROR(VLOOKUP(A78,CFR20212022_BenchMarkDataReport!$B$4:$CL$90,22,0),0)</f>
        <v>0</v>
      </c>
      <c r="H78" s="258">
        <f>IFERROR(VLOOKUP(A78,CFR20212022_BenchMarkDataReport!$B$4:$CL$90,23,0),0)</f>
        <v>164498.04</v>
      </c>
      <c r="I78" s="258">
        <f>IFERROR(VLOOKUP(A78,CFR20212022_BenchMarkDataReport!$B$4:$CL$90,24,0),0)</f>
        <v>0</v>
      </c>
      <c r="J78" s="258">
        <f>IFERROR(VLOOKUP(A78,CFR20212022_BenchMarkDataReport!$B$4:$CL$90,25,0),0)</f>
        <v>5690</v>
      </c>
      <c r="K78" s="258">
        <f>IFERROR(VLOOKUP(A78,CFR20212022_BenchMarkDataReport!$B$4:$CL$90,26,0),0)</f>
        <v>34406.5</v>
      </c>
      <c r="L78" s="258">
        <f>IFERROR(VLOOKUP(A78,CFR20212022_BenchMarkDataReport!$B$4:$CL$90,27,0),0)</f>
        <v>43902.6</v>
      </c>
      <c r="M78" s="258">
        <f>IFERROR(VLOOKUP(A78,CFR20212022_BenchMarkDataReport!$B$4:$CL$90,28,0),0)</f>
        <v>26815.23</v>
      </c>
      <c r="N78" s="258">
        <f>IFERROR(VLOOKUP(A78,CFR20212022_BenchMarkDataReport!$B$4:$CL$90,29,0),0)</f>
        <v>0</v>
      </c>
      <c r="O78" s="258">
        <f>IFERROR(VLOOKUP(A78,CFR20212022_BenchMarkDataReport!$B$4:$CL$90,30,0),0)</f>
        <v>0</v>
      </c>
      <c r="P78" s="258">
        <f>IFERROR(VLOOKUP(A78,CFR20212022_BenchMarkDataReport!$B$4:$CL$90,31,0),0)</f>
        <v>3361.49</v>
      </c>
      <c r="Q78" s="258">
        <f>IFERROR(VLOOKUP(A78,CFR20212022_BenchMarkDataReport!$B$4:$CL$90,32,0),0)</f>
        <v>3153</v>
      </c>
      <c r="R78" s="258">
        <f>IFERROR(VLOOKUP(A78,CFR20212022_BenchMarkDataReport!$B$4:$CL$90,33,0),0)</f>
        <v>0</v>
      </c>
      <c r="S78" s="258">
        <f>IFERROR(VLOOKUP(A78,CFR20212022_BenchMarkDataReport!$B$4:$CL$90,34,0),0)</f>
        <v>0</v>
      </c>
      <c r="T78" s="258">
        <f>IFERROR(VLOOKUP(A78,CFR20212022_BenchMarkDataReport!$B$4:$CL$90,35,0),0)</f>
        <v>0</v>
      </c>
      <c r="U78" s="258">
        <f t="shared" si="152"/>
        <v>89748.38</v>
      </c>
      <c r="V78" s="258">
        <f>IFERROR(VLOOKUP(A78,CFR20212022_BenchMarkDataReport!$B$4:$CL$90,40,0),0)</f>
        <v>1135715.3999999999</v>
      </c>
      <c r="W78" s="258">
        <f>IFERROR(VLOOKUP(A78,CFR20212022_BenchMarkDataReport!$B$4:$CL$90,41,0),0)</f>
        <v>22243.47</v>
      </c>
      <c r="X78" s="258">
        <f>IFERROR(VLOOKUP(A78,CFR20212022_BenchMarkDataReport!$B$4:$CL$90,42,0),0)</f>
        <v>401567.43</v>
      </c>
      <c r="Y78" s="258">
        <f>IFERROR(VLOOKUP(A78,CFR20212022_BenchMarkDataReport!$B$4:$CL$90,43,0),0)</f>
        <v>47180.7</v>
      </c>
      <c r="Z78" s="258">
        <f>IFERROR(VLOOKUP(A78,CFR20212022_BenchMarkDataReport!$B$4:$CL$90,44,0),0)</f>
        <v>192844.94</v>
      </c>
      <c r="AA78" s="258">
        <f>IFERROR(VLOOKUP(A78,CFR20212022_BenchMarkDataReport!$B$4:$CL$90,45,0),0)</f>
        <v>0</v>
      </c>
      <c r="AB78" s="258">
        <f>IFERROR(VLOOKUP(A78,CFR20212022_BenchMarkDataReport!$B$4:$CL$90,46,0),0)</f>
        <v>42644.29</v>
      </c>
      <c r="AC78" s="258">
        <f>IFERROR(VLOOKUP(A78,CFR20212022_BenchMarkDataReport!$B$4:$CL$90,47,0),0)</f>
        <v>9769.64</v>
      </c>
      <c r="AD78" s="258">
        <f>IFERROR(VLOOKUP(A78,CFR20212022_BenchMarkDataReport!$B$4:$CL$90,48,0),0)</f>
        <v>3515.42</v>
      </c>
      <c r="AE78" s="258">
        <f>IFERROR(VLOOKUP(A78,CFR20212022_BenchMarkDataReport!$B$4:$CL$90,49,0),0)</f>
        <v>578.91999999999996</v>
      </c>
      <c r="AF78" s="258">
        <f>IFERROR(VLOOKUP(A78,CFR20212022_BenchMarkDataReport!$B$4:$CL$90,50,0),0)</f>
        <v>0</v>
      </c>
      <c r="AG78" s="258">
        <f>IFERROR(VLOOKUP(A78,CFR20212022_BenchMarkDataReport!$B$4:$CL$90,51,0),0)</f>
        <v>30983.74</v>
      </c>
      <c r="AH78" s="258">
        <f>IFERROR(VLOOKUP(A78,CFR20212022_BenchMarkDataReport!$B$4:$CL$90,52,0),0)</f>
        <v>301.69</v>
      </c>
      <c r="AI78" s="258">
        <f>IFERROR(VLOOKUP(A78,CFR20212022_BenchMarkDataReport!$B$4:$CL$90,53,0),0)</f>
        <v>44069.09</v>
      </c>
      <c r="AJ78" s="258">
        <f>IFERROR(VLOOKUP(A78,CFR20212022_BenchMarkDataReport!$B$4:$CL$90,54,0),0)</f>
        <v>-14836.53</v>
      </c>
      <c r="AK78" s="258">
        <f>IFERROR(VLOOKUP(A78,CFR20212022_BenchMarkDataReport!$B$4:$CL$90,55,0),0)</f>
        <v>41240.959999999999</v>
      </c>
      <c r="AL78" s="258">
        <f>IFERROR(VLOOKUP(A78,CFR20212022_BenchMarkDataReport!$B$4:$CL$90,56,0),0)</f>
        <v>32000</v>
      </c>
      <c r="AM78" s="258">
        <f>IFERROR(VLOOKUP(A78,CFR20212022_BenchMarkDataReport!$B$4:$CL$90,57,0),0)</f>
        <v>12460.07</v>
      </c>
      <c r="AN78" s="258">
        <f>IFERROR(VLOOKUP(A78,CFR20212022_BenchMarkDataReport!$B$4:$CL$90,58,0),0)</f>
        <v>49217.91</v>
      </c>
      <c r="AO78" s="258">
        <f>IFERROR(VLOOKUP(A78,CFR20212022_BenchMarkDataReport!$B$4:$CL$90,59,0),0)</f>
        <v>23621.27</v>
      </c>
      <c r="AP78" s="258">
        <f>IFERROR(VLOOKUP(A78,CFR20212022_BenchMarkDataReport!$B$4:$CL$90,60,0),0)</f>
        <v>0</v>
      </c>
      <c r="AQ78" s="258">
        <f>IFERROR(VLOOKUP(A78,CFR20212022_BenchMarkDataReport!$B$4:$CL$90,61,0),0)</f>
        <v>12397.89</v>
      </c>
      <c r="AR78" s="258">
        <f>IFERROR(VLOOKUP(A78,CFR20212022_BenchMarkDataReport!$B$4:$CL$90,62,0),0)</f>
        <v>10066.11</v>
      </c>
      <c r="AS78" s="258">
        <f>IFERROR(VLOOKUP(A78,CFR20212022_BenchMarkDataReport!$B$4:$CL$90,63,0),0)</f>
        <v>8358.61</v>
      </c>
      <c r="AT78" s="258">
        <f>IFERROR(VLOOKUP(A78,CFR20212022_BenchMarkDataReport!$B$4:$CL$90,64,0),0)</f>
        <v>91237.85</v>
      </c>
      <c r="AU78" s="258">
        <f>IFERROR(VLOOKUP(A78,CFR20212022_BenchMarkDataReport!$B$4:$CL$90,65,0),0)</f>
        <v>1701</v>
      </c>
      <c r="AV78" s="258">
        <f>IFERROR(VLOOKUP(A78,CFR20212022_BenchMarkDataReport!$B$4:$CL$90,66,0),0)</f>
        <v>254512.65</v>
      </c>
      <c r="AW78" s="258">
        <f>IFERROR(VLOOKUP(A78,CFR20212022_BenchMarkDataReport!$B$4:$CL$90,67,0),0)</f>
        <v>23547.48</v>
      </c>
      <c r="AX78" s="258">
        <f>IFERROR(VLOOKUP(A78,CFR20212022_BenchMarkDataReport!$B$4:$CL$90,68,0),0)</f>
        <v>0</v>
      </c>
      <c r="AY78" s="258">
        <f>IFERROR(VLOOKUP(A78,CFR20212022_BenchMarkDataReport!$B$4:$CL$90,69,0),0)</f>
        <v>0</v>
      </c>
      <c r="AZ78" s="258">
        <f>IFERROR(VLOOKUP(A78,CFR20212022_BenchMarkDataReport!$B$4:$CL$90,70,0),0)</f>
        <v>0</v>
      </c>
      <c r="BA78" s="258">
        <f>IFERROR(VLOOKUP(A78,CFR20212022_BenchMarkDataReport!$B$4:$CL$90,71,0),0)</f>
        <v>0</v>
      </c>
      <c r="BB78" s="258">
        <f>IFERROR(VLOOKUP(A78,CFR20212022_BenchMarkDataReport!$B$4:$CL$90,72,0),0)</f>
        <v>0</v>
      </c>
      <c r="BC78" s="259">
        <f t="shared" si="159"/>
        <v>2419531.8600000003</v>
      </c>
      <c r="BD78" s="260">
        <f t="shared" si="154"/>
        <v>2476939.9999999991</v>
      </c>
      <c r="BE78" s="300">
        <f t="shared" si="155"/>
        <v>-57408.139999998733</v>
      </c>
      <c r="BF78" s="258">
        <f>IFERROR(VLOOKUP(A78,CFR20212022_BenchMarkDataReport!$B$4:$CL$90,16,0),0)</f>
        <v>246380</v>
      </c>
      <c r="BG78" s="300">
        <f t="shared" si="156"/>
        <v>188971.86000000127</v>
      </c>
      <c r="BH78" s="261">
        <f>IFERROR(VLOOKUP(A78,'Pupil Nos BenchmarkData 21-22'!$A$6:$E$94,5,0),0)</f>
        <v>343.5</v>
      </c>
      <c r="BI78" s="260">
        <f t="shared" si="153"/>
        <v>2047956.62</v>
      </c>
      <c r="BJ78" s="227" t="s">
        <v>183</v>
      </c>
      <c r="BK78" s="262">
        <f t="shared" si="160"/>
        <v>0.80635364313822255</v>
      </c>
      <c r="BL78" s="263">
        <f t="shared" si="161"/>
        <v>5679.7622416302765</v>
      </c>
      <c r="BM78" s="264">
        <f t="shared" si="162"/>
        <v>0</v>
      </c>
      <c r="BN78" s="265">
        <f t="shared" si="163"/>
        <v>0</v>
      </c>
      <c r="BO78" s="262">
        <f t="shared" si="164"/>
        <v>4.0073161094890473E-2</v>
      </c>
      <c r="BP78" s="263">
        <f t="shared" si="165"/>
        <v>282.26576419213973</v>
      </c>
      <c r="BQ78" s="264">
        <f t="shared" si="166"/>
        <v>0</v>
      </c>
      <c r="BR78" s="265">
        <f t="shared" si="167"/>
        <v>0</v>
      </c>
      <c r="BS78" s="262">
        <f t="shared" si="168"/>
        <v>6.7987548632651607E-2</v>
      </c>
      <c r="BT78" s="263">
        <f t="shared" si="169"/>
        <v>478.88803493449785</v>
      </c>
      <c r="BU78" s="264">
        <f t="shared" si="170"/>
        <v>0</v>
      </c>
      <c r="BV78" s="265">
        <f t="shared" si="171"/>
        <v>0</v>
      </c>
      <c r="BW78" s="262">
        <f t="shared" si="172"/>
        <v>2.351694595995111E-3</v>
      </c>
      <c r="BX78" s="263">
        <f t="shared" si="173"/>
        <v>16.564774381368267</v>
      </c>
      <c r="BY78" s="264">
        <f t="shared" si="174"/>
        <v>3.2365393196351629E-2</v>
      </c>
      <c r="BZ78" s="266">
        <f t="shared" si="175"/>
        <v>227.97409024745272</v>
      </c>
      <c r="CA78" s="267">
        <f t="shared" si="176"/>
        <v>1.3893142122129358E-3</v>
      </c>
      <c r="CB78" s="268">
        <f t="shared" si="177"/>
        <v>9.7859970887918486</v>
      </c>
      <c r="CC78" s="264">
        <f t="shared" si="178"/>
        <v>1.3031446504696985E-3</v>
      </c>
      <c r="CD78" s="265">
        <f t="shared" si="179"/>
        <v>9.1790393013100431</v>
      </c>
      <c r="CE78" s="269">
        <f t="shared" si="180"/>
        <v>0.56625216504830056</v>
      </c>
      <c r="CF78" s="267">
        <f t="shared" si="181"/>
        <v>0.47929101045191436</v>
      </c>
      <c r="CG78" s="267">
        <f t="shared" si="182"/>
        <v>0.46818246303907252</v>
      </c>
      <c r="CH78" s="268">
        <f t="shared" si="183"/>
        <v>3376.0112663755453</v>
      </c>
      <c r="CI78" s="264">
        <f t="shared" si="184"/>
        <v>0.19608200001814491</v>
      </c>
      <c r="CJ78" s="270">
        <f t="shared" si="185"/>
        <v>0.1659690606429956</v>
      </c>
      <c r="CK78" s="270">
        <f t="shared" si="186"/>
        <v>0.1621223889153553</v>
      </c>
      <c r="CL78" s="271">
        <f t="shared" si="187"/>
        <v>1169.0463755458516</v>
      </c>
      <c r="CM78" s="269">
        <f t="shared" si="188"/>
        <v>2.3037939153222883E-2</v>
      </c>
      <c r="CN78" s="267">
        <f t="shared" si="189"/>
        <v>1.9499929213579355E-2</v>
      </c>
      <c r="CO78" s="267">
        <f t="shared" si="190"/>
        <v>1.9047978554183796E-2</v>
      </c>
      <c r="CP78" s="268">
        <f t="shared" si="191"/>
        <v>137.3528384279476</v>
      </c>
      <c r="CQ78" s="264">
        <f t="shared" si="192"/>
        <v>9.416456291930636E-2</v>
      </c>
      <c r="CR78" s="270">
        <f t="shared" si="193"/>
        <v>7.9703410063796387E-2</v>
      </c>
      <c r="CS78" s="270">
        <f t="shared" si="194"/>
        <v>7.7856120858801614E-2</v>
      </c>
      <c r="CT78" s="265">
        <f t="shared" si="195"/>
        <v>561.41176128093161</v>
      </c>
      <c r="CU78" s="269">
        <f t="shared" si="196"/>
        <v>0.89952893142824464</v>
      </c>
      <c r="CV78" s="267">
        <f t="shared" si="197"/>
        <v>0.76138539874403621</v>
      </c>
      <c r="CW78" s="267">
        <f t="shared" si="198"/>
        <v>0.7437387381204229</v>
      </c>
      <c r="CX78" s="268">
        <f t="shared" si="199"/>
        <v>5363.0166812227071</v>
      </c>
      <c r="CY78" s="264">
        <f t="shared" si="200"/>
        <v>1.5129099756029012E-2</v>
      </c>
      <c r="CZ78" s="270">
        <f t="shared" si="201"/>
        <v>1.2508877889654175E-2</v>
      </c>
      <c r="DA78" s="265">
        <f t="shared" si="202"/>
        <v>90.200116448326057</v>
      </c>
      <c r="DB78" s="269">
        <f t="shared" si="203"/>
        <v>-5.9898624916227307E-3</v>
      </c>
      <c r="DC78" s="268">
        <f t="shared" si="204"/>
        <v>-43.192227074235809</v>
      </c>
      <c r="DD78" s="264">
        <f t="shared" si="205"/>
        <v>2.0137614047703801E-2</v>
      </c>
      <c r="DE78" s="270">
        <f t="shared" si="206"/>
        <v>1.6649963261120584E-2</v>
      </c>
      <c r="DF78" s="265">
        <f t="shared" si="207"/>
        <v>120.06101892285298</v>
      </c>
      <c r="DG78" s="269">
        <f t="shared" si="208"/>
        <v>6.0841474269118061E-3</v>
      </c>
      <c r="DH78" s="267">
        <f t="shared" si="209"/>
        <v>5.0304286740898065E-3</v>
      </c>
      <c r="DI78" s="272">
        <f t="shared" si="210"/>
        <v>36.273857350800583</v>
      </c>
      <c r="DJ78" s="264">
        <f t="shared" si="211"/>
        <v>2.4032691669025684E-2</v>
      </c>
      <c r="DK78" s="270">
        <f t="shared" si="212"/>
        <v>2.0341914406533171E-2</v>
      </c>
      <c r="DL78" s="270">
        <f t="shared" si="213"/>
        <v>1.9870449021776877E-2</v>
      </c>
      <c r="DM78" s="265">
        <f t="shared" si="214"/>
        <v>143.28358078602622</v>
      </c>
      <c r="DN78" s="269">
        <f t="shared" si="215"/>
        <v>6.0537854556704422E-3</v>
      </c>
      <c r="DO78" s="267">
        <f t="shared" si="216"/>
        <v>5.0053251188967047E-3</v>
      </c>
      <c r="DP78" s="268">
        <f t="shared" si="217"/>
        <v>36.092838427947598</v>
      </c>
      <c r="DQ78" s="264">
        <f t="shared" si="218"/>
        <v>0.12427638726058561</v>
      </c>
      <c r="DR78" s="270">
        <f t="shared" si="219"/>
        <v>0.10275285230970475</v>
      </c>
      <c r="DS78" s="265">
        <f t="shared" si="220"/>
        <v>740.93930131004367</v>
      </c>
      <c r="DT78" s="269">
        <f t="shared" si="221"/>
        <v>3.6834905165244229E-2</v>
      </c>
      <c r="DU78" s="268">
        <f t="shared" si="222"/>
        <v>265.61237263464341</v>
      </c>
      <c r="DV78" s="264">
        <f t="shared" si="157"/>
        <v>1.779174707501999E-2</v>
      </c>
      <c r="DW78" s="265">
        <f t="shared" si="158"/>
        <v>128.29429403202329</v>
      </c>
      <c r="DX78" s="264">
        <f t="shared" si="223"/>
        <v>5.908328273086175E-5</v>
      </c>
      <c r="DY78" s="270">
        <f t="shared" si="224"/>
        <v>5.0009674185484785E-5</v>
      </c>
      <c r="DZ78" s="270">
        <f t="shared" si="225"/>
        <v>4.8850597915169539E-5</v>
      </c>
      <c r="EA78" s="304">
        <f t="shared" si="226"/>
        <v>0.3522561863173217</v>
      </c>
      <c r="EB78" s="273">
        <f>IFERROR(VLOOKUP(A78,'BARNET SCHS PUPIL PREMIUM Nos'!$E$31:$V$117,17,0),0)</f>
        <v>121</v>
      </c>
      <c r="EC78" s="258">
        <f>IFERROR(VLOOKUP(A78,CFR20212022_BenchMarkDataReport!$B$4:$CL$90,36,0),0)</f>
        <v>0</v>
      </c>
      <c r="ED78" s="258">
        <f>IFERROR(VLOOKUP(A78,CFR20212022_BenchMarkDataReport!$B$4:$CL$90,37,0),0)</f>
        <v>0</v>
      </c>
      <c r="EE78" s="258">
        <f>IFERROR(VLOOKUP(A78,CFR20212022_BenchMarkDataReport!$B$4:$CL$90,38,0),0)</f>
        <v>11760</v>
      </c>
      <c r="EF78" s="258">
        <f>IFERROR(VLOOKUP(A78,CFR20212022_BenchMarkDataReport!$B$4:$CL$90,39,0),0)</f>
        <v>77988.38</v>
      </c>
      <c r="EG78" s="227"/>
    </row>
    <row r="79" spans="1:137" s="5" customFormat="1">
      <c r="A79" s="147">
        <v>2060</v>
      </c>
      <c r="B79" s="298">
        <v>10105</v>
      </c>
      <c r="C79" s="147" t="s">
        <v>108</v>
      </c>
      <c r="D79" s="258">
        <f>IFERROR(VLOOKUP(A79,CFR20212022_BenchMarkDataReport!$B$4:$CL$90,19,0),0)</f>
        <v>2593740.79</v>
      </c>
      <c r="E79" s="258">
        <f>IFERROR(VLOOKUP(A79,CFR20212022_BenchMarkDataReport!$B$4:$CL$90,20,0),0)</f>
        <v>0</v>
      </c>
      <c r="F79" s="258">
        <f>IFERROR(VLOOKUP(A79,CFR20212022_BenchMarkDataReport!$B$4:$CL$90,21,0),0)</f>
        <v>135407.31</v>
      </c>
      <c r="G79" s="258">
        <f>IFERROR(VLOOKUP(A79,CFR20212022_BenchMarkDataReport!$B$4:$CL$90,22,0),0)</f>
        <v>0</v>
      </c>
      <c r="H79" s="258">
        <f>IFERROR(VLOOKUP(A79,CFR20212022_BenchMarkDataReport!$B$4:$CL$90,23,0),0)</f>
        <v>184534.97</v>
      </c>
      <c r="I79" s="258">
        <f>IFERROR(VLOOKUP(A79,CFR20212022_BenchMarkDataReport!$B$4:$CL$90,24,0),0)</f>
        <v>2500</v>
      </c>
      <c r="J79" s="258">
        <f>IFERROR(VLOOKUP(A79,CFR20212022_BenchMarkDataReport!$B$4:$CL$90,25,0),0)</f>
        <v>14718.07</v>
      </c>
      <c r="K79" s="258">
        <f>IFERROR(VLOOKUP(A79,CFR20212022_BenchMarkDataReport!$B$4:$CL$90,26,0),0)</f>
        <v>101136.9</v>
      </c>
      <c r="L79" s="258">
        <f>IFERROR(VLOOKUP(A79,CFR20212022_BenchMarkDataReport!$B$4:$CL$90,27,0),0)</f>
        <v>51073.97</v>
      </c>
      <c r="M79" s="258">
        <f>IFERROR(VLOOKUP(A79,CFR20212022_BenchMarkDataReport!$B$4:$CL$90,28,0),0)</f>
        <v>22769.040000000001</v>
      </c>
      <c r="N79" s="258">
        <f>IFERROR(VLOOKUP(A79,CFR20212022_BenchMarkDataReport!$B$4:$CL$90,29,0),0)</f>
        <v>0</v>
      </c>
      <c r="O79" s="258">
        <f>IFERROR(VLOOKUP(A79,CFR20212022_BenchMarkDataReport!$B$4:$CL$90,30,0),0)</f>
        <v>0</v>
      </c>
      <c r="P79" s="258">
        <f>IFERROR(VLOOKUP(A79,CFR20212022_BenchMarkDataReport!$B$4:$CL$90,31,0),0)</f>
        <v>13077.22</v>
      </c>
      <c r="Q79" s="258">
        <f>IFERROR(VLOOKUP(A79,CFR20212022_BenchMarkDataReport!$B$4:$CL$90,32,0),0)</f>
        <v>3097.25</v>
      </c>
      <c r="R79" s="258">
        <f>IFERROR(VLOOKUP(A79,CFR20212022_BenchMarkDataReport!$B$4:$CL$90,33,0),0)</f>
        <v>0</v>
      </c>
      <c r="S79" s="258">
        <f>IFERROR(VLOOKUP(A79,CFR20212022_BenchMarkDataReport!$B$4:$CL$90,34,0),0)</f>
        <v>0</v>
      </c>
      <c r="T79" s="258">
        <f>IFERROR(VLOOKUP(A79,CFR20212022_BenchMarkDataReport!$B$4:$CL$90,35,0),0)</f>
        <v>0</v>
      </c>
      <c r="U79" s="258">
        <f t="shared" si="152"/>
        <v>103893.5</v>
      </c>
      <c r="V79" s="258">
        <f>IFERROR(VLOOKUP(A79,CFR20212022_BenchMarkDataReport!$B$4:$CL$90,40,0),0)</f>
        <v>1369033.97</v>
      </c>
      <c r="W79" s="258">
        <f>IFERROR(VLOOKUP(A79,CFR20212022_BenchMarkDataReport!$B$4:$CL$90,41,0),0)</f>
        <v>0</v>
      </c>
      <c r="X79" s="258">
        <f>IFERROR(VLOOKUP(A79,CFR20212022_BenchMarkDataReport!$B$4:$CL$90,42,0),0)</f>
        <v>750622.8</v>
      </c>
      <c r="Y79" s="258">
        <f>IFERROR(VLOOKUP(A79,CFR20212022_BenchMarkDataReport!$B$4:$CL$90,43,0),0)</f>
        <v>74279.179999999993</v>
      </c>
      <c r="Z79" s="258">
        <f>IFERROR(VLOOKUP(A79,CFR20212022_BenchMarkDataReport!$B$4:$CL$90,44,0),0)</f>
        <v>98351.6</v>
      </c>
      <c r="AA79" s="258">
        <f>IFERROR(VLOOKUP(A79,CFR20212022_BenchMarkDataReport!$B$4:$CL$90,45,0),0)</f>
        <v>0</v>
      </c>
      <c r="AB79" s="258">
        <f>IFERROR(VLOOKUP(A79,CFR20212022_BenchMarkDataReport!$B$4:$CL$90,46,0),0)</f>
        <v>91020.2</v>
      </c>
      <c r="AC79" s="258">
        <f>IFERROR(VLOOKUP(A79,CFR20212022_BenchMarkDataReport!$B$4:$CL$90,47,0),0)</f>
        <v>16630.169999999998</v>
      </c>
      <c r="AD79" s="258">
        <f>IFERROR(VLOOKUP(A79,CFR20212022_BenchMarkDataReport!$B$4:$CL$90,48,0),0)</f>
        <v>5605.59</v>
      </c>
      <c r="AE79" s="258">
        <f>IFERROR(VLOOKUP(A79,CFR20212022_BenchMarkDataReport!$B$4:$CL$90,49,0),0)</f>
        <v>690.44</v>
      </c>
      <c r="AF79" s="258">
        <f>IFERROR(VLOOKUP(A79,CFR20212022_BenchMarkDataReport!$B$4:$CL$90,50,0),0)</f>
        <v>0</v>
      </c>
      <c r="AG79" s="258">
        <f>IFERROR(VLOOKUP(A79,CFR20212022_BenchMarkDataReport!$B$4:$CL$90,51,0),0)</f>
        <v>55199.839999999997</v>
      </c>
      <c r="AH79" s="258">
        <f>IFERROR(VLOOKUP(A79,CFR20212022_BenchMarkDataReport!$B$4:$CL$90,52,0),0)</f>
        <v>9758.75</v>
      </c>
      <c r="AI79" s="258">
        <f>IFERROR(VLOOKUP(A79,CFR20212022_BenchMarkDataReport!$B$4:$CL$90,53,0),0)</f>
        <v>40621.74</v>
      </c>
      <c r="AJ79" s="258">
        <f>IFERROR(VLOOKUP(A79,CFR20212022_BenchMarkDataReport!$B$4:$CL$90,54,0),0)</f>
        <v>15188.94</v>
      </c>
      <c r="AK79" s="258">
        <f>IFERROR(VLOOKUP(A79,CFR20212022_BenchMarkDataReport!$B$4:$CL$90,55,0),0)</f>
        <v>82414.009999999995</v>
      </c>
      <c r="AL79" s="258">
        <f>IFERROR(VLOOKUP(A79,CFR20212022_BenchMarkDataReport!$B$4:$CL$90,56,0),0)</f>
        <v>112080</v>
      </c>
      <c r="AM79" s="258">
        <f>IFERROR(VLOOKUP(A79,CFR20212022_BenchMarkDataReport!$B$4:$CL$90,57,0),0)</f>
        <v>12747.42</v>
      </c>
      <c r="AN79" s="258">
        <f>IFERROR(VLOOKUP(A79,CFR20212022_BenchMarkDataReport!$B$4:$CL$90,58,0),0)</f>
        <v>117274.22</v>
      </c>
      <c r="AO79" s="258">
        <f>IFERROR(VLOOKUP(A79,CFR20212022_BenchMarkDataReport!$B$4:$CL$90,59,0),0)</f>
        <v>16784.580000000002</v>
      </c>
      <c r="AP79" s="258">
        <f>IFERROR(VLOOKUP(A79,CFR20212022_BenchMarkDataReport!$B$4:$CL$90,60,0),0)</f>
        <v>0</v>
      </c>
      <c r="AQ79" s="258">
        <f>IFERROR(VLOOKUP(A79,CFR20212022_BenchMarkDataReport!$B$4:$CL$90,61,0),0)</f>
        <v>14560.13</v>
      </c>
      <c r="AR79" s="258">
        <f>IFERROR(VLOOKUP(A79,CFR20212022_BenchMarkDataReport!$B$4:$CL$90,62,0),0)</f>
        <v>13871.27</v>
      </c>
      <c r="AS79" s="258">
        <f>IFERROR(VLOOKUP(A79,CFR20212022_BenchMarkDataReport!$B$4:$CL$90,63,0),0)</f>
        <v>4394.2</v>
      </c>
      <c r="AT79" s="258">
        <f>IFERROR(VLOOKUP(A79,CFR20212022_BenchMarkDataReport!$B$4:$CL$90,64,0),0)</f>
        <v>107338.1</v>
      </c>
      <c r="AU79" s="258">
        <f>IFERROR(VLOOKUP(A79,CFR20212022_BenchMarkDataReport!$B$4:$CL$90,65,0),0)</f>
        <v>48525.03</v>
      </c>
      <c r="AV79" s="258">
        <f>IFERROR(VLOOKUP(A79,CFR20212022_BenchMarkDataReport!$B$4:$CL$90,66,0),0)</f>
        <v>50252.55</v>
      </c>
      <c r="AW79" s="258">
        <f>IFERROR(VLOOKUP(A79,CFR20212022_BenchMarkDataReport!$B$4:$CL$90,67,0),0)</f>
        <v>51184.04</v>
      </c>
      <c r="AX79" s="258">
        <f>IFERROR(VLOOKUP(A79,CFR20212022_BenchMarkDataReport!$B$4:$CL$90,68,0),0)</f>
        <v>0</v>
      </c>
      <c r="AY79" s="258">
        <f>IFERROR(VLOOKUP(A79,CFR20212022_BenchMarkDataReport!$B$4:$CL$90,69,0),0)</f>
        <v>0</v>
      </c>
      <c r="AZ79" s="258">
        <f>IFERROR(VLOOKUP(A79,CFR20212022_BenchMarkDataReport!$B$4:$CL$90,70,0),0)</f>
        <v>0</v>
      </c>
      <c r="BA79" s="258">
        <f>IFERROR(VLOOKUP(A79,CFR20212022_BenchMarkDataReport!$B$4:$CL$90,71,0),0)</f>
        <v>0</v>
      </c>
      <c r="BB79" s="258">
        <f>IFERROR(VLOOKUP(A79,CFR20212022_BenchMarkDataReport!$B$4:$CL$90,72,0),0)</f>
        <v>0</v>
      </c>
      <c r="BC79" s="259">
        <f t="shared" si="159"/>
        <v>3225949.0200000005</v>
      </c>
      <c r="BD79" s="260">
        <f t="shared" si="154"/>
        <v>3158428.77</v>
      </c>
      <c r="BE79" s="300">
        <f t="shared" si="155"/>
        <v>67520.250000000466</v>
      </c>
      <c r="BF79" s="258">
        <f>IFERROR(VLOOKUP(A79,CFR20212022_BenchMarkDataReport!$B$4:$CL$90,16,0),0)</f>
        <v>20933.150000000001</v>
      </c>
      <c r="BG79" s="300">
        <f t="shared" si="156"/>
        <v>88453.40000000046</v>
      </c>
      <c r="BH79" s="261">
        <f>IFERROR(VLOOKUP(A79,'Pupil Nos BenchmarkData 21-22'!$A$6:$E$94,5,0),0)</f>
        <v>438.5</v>
      </c>
      <c r="BI79" s="260">
        <f t="shared" si="153"/>
        <v>2729148.1</v>
      </c>
      <c r="BJ79" s="227" t="s">
        <v>183</v>
      </c>
      <c r="BK79" s="262">
        <f t="shared" si="160"/>
        <v>0.8040241100896256</v>
      </c>
      <c r="BL79" s="263">
        <f t="shared" si="161"/>
        <v>5915.0303078677307</v>
      </c>
      <c r="BM79" s="264">
        <f t="shared" si="162"/>
        <v>0</v>
      </c>
      <c r="BN79" s="265">
        <f t="shared" si="163"/>
        <v>0</v>
      </c>
      <c r="BO79" s="262">
        <f t="shared" si="164"/>
        <v>4.1974410990536976E-2</v>
      </c>
      <c r="BP79" s="263">
        <f t="shared" si="165"/>
        <v>308.79660205245153</v>
      </c>
      <c r="BQ79" s="264">
        <f t="shared" si="166"/>
        <v>0</v>
      </c>
      <c r="BR79" s="265">
        <f t="shared" si="167"/>
        <v>0</v>
      </c>
      <c r="BS79" s="262">
        <f t="shared" si="168"/>
        <v>5.7203312530958714E-2</v>
      </c>
      <c r="BT79" s="263">
        <f t="shared" si="169"/>
        <v>420.83231470923602</v>
      </c>
      <c r="BU79" s="264">
        <f t="shared" si="170"/>
        <v>7.7496574945874362E-4</v>
      </c>
      <c r="BV79" s="265">
        <f t="shared" si="171"/>
        <v>5.7012542759407072</v>
      </c>
      <c r="BW79" s="262">
        <f t="shared" si="172"/>
        <v>4.5624000592545001E-3</v>
      </c>
      <c r="BX79" s="263">
        <f t="shared" si="173"/>
        <v>33.564583808437852</v>
      </c>
      <c r="BY79" s="264">
        <f t="shared" si="174"/>
        <v>4.7183284378126959E-2</v>
      </c>
      <c r="BZ79" s="266">
        <f t="shared" si="175"/>
        <v>347.117149372862</v>
      </c>
      <c r="CA79" s="267">
        <f t="shared" si="176"/>
        <v>4.0537590392547484E-3</v>
      </c>
      <c r="CB79" s="268">
        <f t="shared" si="177"/>
        <v>29.822622576966932</v>
      </c>
      <c r="CC79" s="264">
        <f t="shared" si="178"/>
        <v>9.6010506700443753E-4</v>
      </c>
      <c r="CD79" s="265">
        <f t="shared" si="179"/>
        <v>7.0632839224629418</v>
      </c>
      <c r="CE79" s="269">
        <f t="shared" si="180"/>
        <v>0.51941446490206966</v>
      </c>
      <c r="CF79" s="267">
        <f t="shared" si="181"/>
        <v>0.43942386913479486</v>
      </c>
      <c r="CG79" s="267">
        <f t="shared" si="182"/>
        <v>0.44881778353355106</v>
      </c>
      <c r="CH79" s="268">
        <f t="shared" si="183"/>
        <v>3232.745724059293</v>
      </c>
      <c r="CI79" s="264">
        <f t="shared" si="184"/>
        <v>0.27503923293865951</v>
      </c>
      <c r="CJ79" s="270">
        <f t="shared" si="185"/>
        <v>0.23268278430512826</v>
      </c>
      <c r="CK79" s="270">
        <f t="shared" si="186"/>
        <v>0.23765702970087879</v>
      </c>
      <c r="CL79" s="271">
        <f t="shared" si="187"/>
        <v>1711.7965792474345</v>
      </c>
      <c r="CM79" s="269">
        <f t="shared" si="188"/>
        <v>2.7216983937222019E-2</v>
      </c>
      <c r="CN79" s="267">
        <f t="shared" si="189"/>
        <v>2.3025528159152368E-2</v>
      </c>
      <c r="CO79" s="267">
        <f t="shared" si="190"/>
        <v>2.351776323263418E-2</v>
      </c>
      <c r="CP79" s="268">
        <f t="shared" si="191"/>
        <v>169.39379703534777</v>
      </c>
      <c r="CQ79" s="264">
        <f t="shared" si="192"/>
        <v>3.6037472645768107E-2</v>
      </c>
      <c r="CR79" s="270">
        <f t="shared" si="193"/>
        <v>3.048764856178663E-2</v>
      </c>
      <c r="CS79" s="270">
        <f t="shared" si="194"/>
        <v>3.1139407332589616E-2</v>
      </c>
      <c r="CT79" s="265">
        <f t="shared" si="195"/>
        <v>224.29099201824403</v>
      </c>
      <c r="CU79" s="269">
        <f t="shared" si="196"/>
        <v>0.87327900966605676</v>
      </c>
      <c r="CV79" s="267">
        <f t="shared" si="197"/>
        <v>0.73879275066783301</v>
      </c>
      <c r="CW79" s="267">
        <f t="shared" si="198"/>
        <v>0.75458651233093998</v>
      </c>
      <c r="CX79" s="268">
        <f t="shared" si="199"/>
        <v>5435.1374002280509</v>
      </c>
      <c r="CY79" s="264">
        <f t="shared" si="200"/>
        <v>2.0226033171303528E-2</v>
      </c>
      <c r="CZ79" s="270">
        <f t="shared" si="201"/>
        <v>1.7476993790174977E-2</v>
      </c>
      <c r="DA79" s="265">
        <f t="shared" si="202"/>
        <v>125.88332953249714</v>
      </c>
      <c r="DB79" s="269">
        <f t="shared" si="203"/>
        <v>4.8090177446047013E-3</v>
      </c>
      <c r="DC79" s="268">
        <f t="shared" si="204"/>
        <v>34.638403648802736</v>
      </c>
      <c r="DD79" s="264">
        <f t="shared" si="205"/>
        <v>3.0197705283930905E-2</v>
      </c>
      <c r="DE79" s="270">
        <f t="shared" si="206"/>
        <v>2.6093357172655186E-2</v>
      </c>
      <c r="DF79" s="265">
        <f t="shared" si="207"/>
        <v>187.94529076396807</v>
      </c>
      <c r="DG79" s="269">
        <f t="shared" si="208"/>
        <v>4.6708421576681751E-3</v>
      </c>
      <c r="DH79" s="267">
        <f t="shared" si="209"/>
        <v>4.0360004699425281E-3</v>
      </c>
      <c r="DI79" s="272">
        <f t="shared" si="210"/>
        <v>29.070513112884836</v>
      </c>
      <c r="DJ79" s="264">
        <f t="shared" si="211"/>
        <v>4.2970998898887162E-2</v>
      </c>
      <c r="DK79" s="270">
        <f t="shared" si="212"/>
        <v>3.6353401517795834E-2</v>
      </c>
      <c r="DL79" s="270">
        <f t="shared" si="213"/>
        <v>3.7130557166245672E-2</v>
      </c>
      <c r="DM79" s="265">
        <f t="shared" si="214"/>
        <v>267.44405929304446</v>
      </c>
      <c r="DN79" s="269">
        <f t="shared" si="215"/>
        <v>5.3350457602502404E-3</v>
      </c>
      <c r="DO79" s="267">
        <f t="shared" si="216"/>
        <v>4.6099282460626773E-3</v>
      </c>
      <c r="DP79" s="268">
        <f t="shared" si="217"/>
        <v>33.204401368301028</v>
      </c>
      <c r="DQ79" s="264">
        <f t="shared" si="218"/>
        <v>1.8413273358085624E-2</v>
      </c>
      <c r="DR79" s="270">
        <f t="shared" si="219"/>
        <v>1.591061684762959E-2</v>
      </c>
      <c r="DS79" s="265">
        <f t="shared" si="220"/>
        <v>114.60102622576967</v>
      </c>
      <c r="DT79" s="269">
        <f t="shared" si="221"/>
        <v>3.3984651171981316E-2</v>
      </c>
      <c r="DU79" s="268">
        <f t="shared" si="222"/>
        <v>244.78472063854051</v>
      </c>
      <c r="DV79" s="264">
        <f t="shared" si="157"/>
        <v>1.2861376006272891E-2</v>
      </c>
      <c r="DW79" s="265">
        <f t="shared" si="158"/>
        <v>92.637947548460659</v>
      </c>
      <c r="DX79" s="264">
        <f t="shared" si="223"/>
        <v>4.7633911842307128E-5</v>
      </c>
      <c r="DY79" s="270">
        <f t="shared" si="224"/>
        <v>4.0298218971854672E-5</v>
      </c>
      <c r="DZ79" s="270">
        <f t="shared" si="225"/>
        <v>4.1159706128183476E-5</v>
      </c>
      <c r="EA79" s="265">
        <f t="shared" si="226"/>
        <v>0.29646522234891676</v>
      </c>
      <c r="EB79" s="273">
        <f>IFERROR(VLOOKUP(A79,'BARNET SCHS PUPIL PREMIUM Nos'!$E$31:$V$117,17,0),0)</f>
        <v>130</v>
      </c>
      <c r="EC79" s="258">
        <f>IFERROR(VLOOKUP(A79,CFR20212022_BenchMarkDataReport!$B$4:$CL$90,36,0),0)</f>
        <v>0</v>
      </c>
      <c r="ED79" s="258">
        <f>IFERROR(VLOOKUP(A79,CFR20212022_BenchMarkDataReport!$B$4:$CL$90,37,0),0)</f>
        <v>0</v>
      </c>
      <c r="EE79" s="258">
        <f>IFERROR(VLOOKUP(A79,CFR20212022_BenchMarkDataReport!$B$4:$CL$90,38,0),0)</f>
        <v>32630</v>
      </c>
      <c r="EF79" s="258">
        <f>IFERROR(VLOOKUP(A79,CFR20212022_BenchMarkDataReport!$B$4:$CL$90,39,0),0)</f>
        <v>71263.5</v>
      </c>
      <c r="EG79" s="227"/>
    </row>
    <row r="80" spans="1:137" s="5" customFormat="1">
      <c r="A80" s="147">
        <v>3518</v>
      </c>
      <c r="B80" s="298">
        <v>10123</v>
      </c>
      <c r="C80" s="147" t="s">
        <v>109</v>
      </c>
      <c r="D80" s="258">
        <f>IFERROR(VLOOKUP(A80,CFR20212022_BenchMarkDataReport!$B$4:$CL$90,19,0),0)</f>
        <v>2197899.89</v>
      </c>
      <c r="E80" s="258">
        <f>IFERROR(VLOOKUP(A80,CFR20212022_BenchMarkDataReport!$B$4:$CL$90,20,0),0)</f>
        <v>0</v>
      </c>
      <c r="F80" s="258">
        <f>IFERROR(VLOOKUP(A80,CFR20212022_BenchMarkDataReport!$B$4:$CL$90,21,0),0)</f>
        <v>30654.41</v>
      </c>
      <c r="G80" s="258">
        <f>IFERROR(VLOOKUP(A80,CFR20212022_BenchMarkDataReport!$B$4:$CL$90,22,0),0)</f>
        <v>0</v>
      </c>
      <c r="H80" s="258">
        <f>IFERROR(VLOOKUP(A80,CFR20212022_BenchMarkDataReport!$B$4:$CL$90,23,0),0)</f>
        <v>199396.04</v>
      </c>
      <c r="I80" s="258">
        <f>IFERROR(VLOOKUP(A80,CFR20212022_BenchMarkDataReport!$B$4:$CL$90,24,0),0)</f>
        <v>4348.42</v>
      </c>
      <c r="J80" s="258">
        <f>IFERROR(VLOOKUP(A80,CFR20212022_BenchMarkDataReport!$B$4:$CL$90,25,0),0)</f>
        <v>0</v>
      </c>
      <c r="K80" s="258">
        <f>IFERROR(VLOOKUP(A80,CFR20212022_BenchMarkDataReport!$B$4:$CL$90,26,0),0)</f>
        <v>7200</v>
      </c>
      <c r="L80" s="258">
        <f>IFERROR(VLOOKUP(A80,CFR20212022_BenchMarkDataReport!$B$4:$CL$90,27,0),0)</f>
        <v>17043</v>
      </c>
      <c r="M80" s="258">
        <f>IFERROR(VLOOKUP(A80,CFR20212022_BenchMarkDataReport!$B$4:$CL$90,28,0),0)</f>
        <v>15281.3</v>
      </c>
      <c r="N80" s="258">
        <f>IFERROR(VLOOKUP(A80,CFR20212022_BenchMarkDataReport!$B$4:$CL$90,29,0),0)</f>
        <v>6900</v>
      </c>
      <c r="O80" s="258">
        <f>IFERROR(VLOOKUP(A80,CFR20212022_BenchMarkDataReport!$B$4:$CL$90,30,0),0)</f>
        <v>0</v>
      </c>
      <c r="P80" s="258">
        <f>IFERROR(VLOOKUP(A80,CFR20212022_BenchMarkDataReport!$B$4:$CL$90,31,0),0)</f>
        <v>13050</v>
      </c>
      <c r="Q80" s="258">
        <f>IFERROR(VLOOKUP(A80,CFR20212022_BenchMarkDataReport!$B$4:$CL$90,32,0),0)</f>
        <v>3716.45</v>
      </c>
      <c r="R80" s="258">
        <f>IFERROR(VLOOKUP(A80,CFR20212022_BenchMarkDataReport!$B$4:$CL$90,33,0),0)</f>
        <v>0</v>
      </c>
      <c r="S80" s="258">
        <f>IFERROR(VLOOKUP(A80,CFR20212022_BenchMarkDataReport!$B$4:$CL$90,34,0),0)</f>
        <v>0</v>
      </c>
      <c r="T80" s="258">
        <f>IFERROR(VLOOKUP(A80,CFR20212022_BenchMarkDataReport!$B$4:$CL$90,35,0),0)</f>
        <v>0</v>
      </c>
      <c r="U80" s="258">
        <f t="shared" si="152"/>
        <v>89748.83</v>
      </c>
      <c r="V80" s="258">
        <f>IFERROR(VLOOKUP(A80,CFR20212022_BenchMarkDataReport!$B$4:$CL$90,40,0),0)</f>
        <v>1205112.29</v>
      </c>
      <c r="W80" s="258">
        <f>IFERROR(VLOOKUP(A80,CFR20212022_BenchMarkDataReport!$B$4:$CL$90,41,0),0)</f>
        <v>6875.78</v>
      </c>
      <c r="X80" s="258">
        <f>IFERROR(VLOOKUP(A80,CFR20212022_BenchMarkDataReport!$B$4:$CL$90,42,0),0)</f>
        <v>627131.76</v>
      </c>
      <c r="Y80" s="258">
        <f>IFERROR(VLOOKUP(A80,CFR20212022_BenchMarkDataReport!$B$4:$CL$90,43,0),0)</f>
        <v>15781.86</v>
      </c>
      <c r="Z80" s="258">
        <f>IFERROR(VLOOKUP(A80,CFR20212022_BenchMarkDataReport!$B$4:$CL$90,44,0),0)</f>
        <v>35846.46</v>
      </c>
      <c r="AA80" s="258">
        <f>IFERROR(VLOOKUP(A80,CFR20212022_BenchMarkDataReport!$B$4:$CL$90,45,0),0)</f>
        <v>0</v>
      </c>
      <c r="AB80" s="258">
        <f>IFERROR(VLOOKUP(A80,CFR20212022_BenchMarkDataReport!$B$4:$CL$90,46,0),0)</f>
        <v>130398.41</v>
      </c>
      <c r="AC80" s="258">
        <f>IFERROR(VLOOKUP(A80,CFR20212022_BenchMarkDataReport!$B$4:$CL$90,47,0),0)</f>
        <v>14121.14</v>
      </c>
      <c r="AD80" s="258">
        <f>IFERROR(VLOOKUP(A80,CFR20212022_BenchMarkDataReport!$B$4:$CL$90,48,0),0)</f>
        <v>8159.45</v>
      </c>
      <c r="AE80" s="258">
        <f>IFERROR(VLOOKUP(A80,CFR20212022_BenchMarkDataReport!$B$4:$CL$90,49,0),0)</f>
        <v>13830.34</v>
      </c>
      <c r="AF80" s="258">
        <f>IFERROR(VLOOKUP(A80,CFR20212022_BenchMarkDataReport!$B$4:$CL$90,50,0),0)</f>
        <v>0</v>
      </c>
      <c r="AG80" s="258">
        <f>IFERROR(VLOOKUP(A80,CFR20212022_BenchMarkDataReport!$B$4:$CL$90,51,0),0)</f>
        <v>17246.669999999998</v>
      </c>
      <c r="AH80" s="258">
        <f>IFERROR(VLOOKUP(A80,CFR20212022_BenchMarkDataReport!$B$4:$CL$90,52,0),0)</f>
        <v>2249.7600000000002</v>
      </c>
      <c r="AI80" s="258">
        <f>IFERROR(VLOOKUP(A80,CFR20212022_BenchMarkDataReport!$B$4:$CL$90,53,0),0)</f>
        <v>52853.67</v>
      </c>
      <c r="AJ80" s="258">
        <f>IFERROR(VLOOKUP(A80,CFR20212022_BenchMarkDataReport!$B$4:$CL$90,54,0),0)</f>
        <v>1704.1</v>
      </c>
      <c r="AK80" s="258">
        <f>IFERROR(VLOOKUP(A80,CFR20212022_BenchMarkDataReport!$B$4:$CL$90,55,0),0)</f>
        <v>38511.86</v>
      </c>
      <c r="AL80" s="258">
        <f>IFERROR(VLOOKUP(A80,CFR20212022_BenchMarkDataReport!$B$4:$CL$90,56,0),0)</f>
        <v>35328</v>
      </c>
      <c r="AM80" s="258">
        <f>IFERROR(VLOOKUP(A80,CFR20212022_BenchMarkDataReport!$B$4:$CL$90,57,0),0)</f>
        <v>9426.75</v>
      </c>
      <c r="AN80" s="258">
        <f>IFERROR(VLOOKUP(A80,CFR20212022_BenchMarkDataReport!$B$4:$CL$90,58,0),0)</f>
        <v>40032.449999999997</v>
      </c>
      <c r="AO80" s="258">
        <f>IFERROR(VLOOKUP(A80,CFR20212022_BenchMarkDataReport!$B$4:$CL$90,59,0),0)</f>
        <v>17411.41</v>
      </c>
      <c r="AP80" s="258">
        <f>IFERROR(VLOOKUP(A80,CFR20212022_BenchMarkDataReport!$B$4:$CL$90,60,0),0)</f>
        <v>0</v>
      </c>
      <c r="AQ80" s="258">
        <f>IFERROR(VLOOKUP(A80,CFR20212022_BenchMarkDataReport!$B$4:$CL$90,61,0),0)</f>
        <v>18087.810000000001</v>
      </c>
      <c r="AR80" s="258">
        <f>IFERROR(VLOOKUP(A80,CFR20212022_BenchMarkDataReport!$B$4:$CL$90,62,0),0)</f>
        <v>11287.3</v>
      </c>
      <c r="AS80" s="258">
        <f>IFERROR(VLOOKUP(A80,CFR20212022_BenchMarkDataReport!$B$4:$CL$90,63,0),0)</f>
        <v>5529.49</v>
      </c>
      <c r="AT80" s="258">
        <f>IFERROR(VLOOKUP(A80,CFR20212022_BenchMarkDataReport!$B$4:$CL$90,64,0),0)</f>
        <v>88796.21</v>
      </c>
      <c r="AU80" s="258">
        <f>IFERROR(VLOOKUP(A80,CFR20212022_BenchMarkDataReport!$B$4:$CL$90,65,0),0)</f>
        <v>84192.48</v>
      </c>
      <c r="AV80" s="258">
        <f>IFERROR(VLOOKUP(A80,CFR20212022_BenchMarkDataReport!$B$4:$CL$90,66,0),0)</f>
        <v>135265.09</v>
      </c>
      <c r="AW80" s="258">
        <f>IFERROR(VLOOKUP(A80,CFR20212022_BenchMarkDataReport!$B$4:$CL$90,67,0),0)</f>
        <v>42339.77</v>
      </c>
      <c r="AX80" s="258">
        <f>IFERROR(VLOOKUP(A80,CFR20212022_BenchMarkDataReport!$B$4:$CL$90,68,0),0)</f>
        <v>0</v>
      </c>
      <c r="AY80" s="258">
        <f>IFERROR(VLOOKUP(A80,CFR20212022_BenchMarkDataReport!$B$4:$CL$90,69,0),0)</f>
        <v>0</v>
      </c>
      <c r="AZ80" s="258">
        <f>IFERROR(VLOOKUP(A80,CFR20212022_BenchMarkDataReport!$B$4:$CL$90,70,0),0)</f>
        <v>3964</v>
      </c>
      <c r="BA80" s="258">
        <f>IFERROR(VLOOKUP(A80,CFR20212022_BenchMarkDataReport!$B$4:$CL$90,71,0),0)</f>
        <v>0</v>
      </c>
      <c r="BB80" s="258">
        <f>IFERROR(VLOOKUP(A80,CFR20212022_BenchMarkDataReport!$B$4:$CL$90,72,0),0)</f>
        <v>0</v>
      </c>
      <c r="BC80" s="259">
        <f t="shared" si="159"/>
        <v>2585238.3400000003</v>
      </c>
      <c r="BD80" s="260">
        <f t="shared" si="154"/>
        <v>2661484.31</v>
      </c>
      <c r="BE80" s="300">
        <f t="shared" si="155"/>
        <v>-76245.969999999739</v>
      </c>
      <c r="BF80" s="258">
        <f>IFERROR(VLOOKUP(A80,CFR20212022_BenchMarkDataReport!$B$4:$CL$90,16,0),0)</f>
        <v>59900.14</v>
      </c>
      <c r="BG80" s="300">
        <f t="shared" si="156"/>
        <v>-16345.82999999974</v>
      </c>
      <c r="BH80" s="261">
        <f>IFERROR(VLOOKUP(A80,'Pupil Nos BenchmarkData 21-22'!$A$6:$E$94,5,0),0)</f>
        <v>429.5</v>
      </c>
      <c r="BI80" s="260">
        <f t="shared" si="153"/>
        <v>2228554.3000000003</v>
      </c>
      <c r="BJ80" s="227" t="s">
        <v>183</v>
      </c>
      <c r="BK80" s="262">
        <f t="shared" si="160"/>
        <v>0.85017302118457672</v>
      </c>
      <c r="BL80" s="263">
        <f t="shared" si="161"/>
        <v>5117.3454947613509</v>
      </c>
      <c r="BM80" s="264">
        <f t="shared" si="162"/>
        <v>0</v>
      </c>
      <c r="BN80" s="265">
        <f t="shared" si="163"/>
        <v>0</v>
      </c>
      <c r="BO80" s="262">
        <f t="shared" si="164"/>
        <v>1.1857479260500212E-2</v>
      </c>
      <c r="BP80" s="263">
        <f t="shared" si="165"/>
        <v>71.372316647264256</v>
      </c>
      <c r="BQ80" s="264">
        <f t="shared" si="166"/>
        <v>0</v>
      </c>
      <c r="BR80" s="265">
        <f t="shared" si="167"/>
        <v>0</v>
      </c>
      <c r="BS80" s="262">
        <f t="shared" si="168"/>
        <v>7.7128687484961239E-2</v>
      </c>
      <c r="BT80" s="263">
        <f t="shared" si="169"/>
        <v>464.25154831199069</v>
      </c>
      <c r="BU80" s="264">
        <f t="shared" si="170"/>
        <v>1.6820189971343221E-3</v>
      </c>
      <c r="BV80" s="265">
        <f t="shared" si="171"/>
        <v>10.124377182770663</v>
      </c>
      <c r="BW80" s="262">
        <f t="shared" si="172"/>
        <v>0</v>
      </c>
      <c r="BX80" s="263">
        <f t="shared" si="173"/>
        <v>0</v>
      </c>
      <c r="BY80" s="264">
        <f t="shared" si="174"/>
        <v>9.3774719432638456E-3</v>
      </c>
      <c r="BZ80" s="266">
        <f t="shared" si="175"/>
        <v>56.444703143189756</v>
      </c>
      <c r="CA80" s="267">
        <f t="shared" si="176"/>
        <v>5.0478904780593649E-3</v>
      </c>
      <c r="CB80" s="268">
        <f t="shared" si="177"/>
        <v>30.384167636786962</v>
      </c>
      <c r="CC80" s="264">
        <f t="shared" si="178"/>
        <v>1.4375657139604388E-3</v>
      </c>
      <c r="CD80" s="265">
        <f t="shared" si="179"/>
        <v>8.6529685681024446</v>
      </c>
      <c r="CE80" s="269">
        <f t="shared" si="180"/>
        <v>0.58162394786611205</v>
      </c>
      <c r="CF80" s="267">
        <f t="shared" si="181"/>
        <v>0.50137758284986589</v>
      </c>
      <c r="CG80" s="267">
        <f t="shared" si="182"/>
        <v>0.4870141616577856</v>
      </c>
      <c r="CH80" s="268">
        <f t="shared" si="183"/>
        <v>3017.8825378346914</v>
      </c>
      <c r="CI80" s="264">
        <f t="shared" si="184"/>
        <v>0.28140743979179683</v>
      </c>
      <c r="CJ80" s="270">
        <f t="shared" si="185"/>
        <v>0.24258179615269049</v>
      </c>
      <c r="CK80" s="270">
        <f t="shared" si="186"/>
        <v>0.23563233404896533</v>
      </c>
      <c r="CL80" s="271">
        <f t="shared" si="187"/>
        <v>1460.1437951105938</v>
      </c>
      <c r="CM80" s="269">
        <f t="shared" si="188"/>
        <v>7.081658275053024E-3</v>
      </c>
      <c r="CN80" s="267">
        <f t="shared" si="189"/>
        <v>6.1046054268249781E-3</v>
      </c>
      <c r="CO80" s="267">
        <f t="shared" si="190"/>
        <v>5.9297212238684964E-3</v>
      </c>
      <c r="CP80" s="268">
        <f t="shared" si="191"/>
        <v>36.744726426076838</v>
      </c>
      <c r="CQ80" s="264">
        <f t="shared" si="192"/>
        <v>1.6085073628226153E-2</v>
      </c>
      <c r="CR80" s="270">
        <f t="shared" si="193"/>
        <v>1.3865824069435701E-2</v>
      </c>
      <c r="CS80" s="270">
        <f t="shared" si="194"/>
        <v>1.3468597152842128E-2</v>
      </c>
      <c r="CT80" s="265">
        <f t="shared" si="195"/>
        <v>83.460908032596038</v>
      </c>
      <c r="CU80" s="269">
        <f t="shared" si="196"/>
        <v>0.90693170904563547</v>
      </c>
      <c r="CV80" s="267">
        <f t="shared" si="197"/>
        <v>0.78180279501811811</v>
      </c>
      <c r="CW80" s="267">
        <f t="shared" si="198"/>
        <v>0.75940577684637933</v>
      </c>
      <c r="CX80" s="268">
        <f t="shared" si="199"/>
        <v>4705.8127124563443</v>
      </c>
      <c r="CY80" s="264">
        <f t="shared" si="200"/>
        <v>7.7389498653903099E-3</v>
      </c>
      <c r="CZ80" s="270">
        <f t="shared" si="201"/>
        <v>6.4800945604672746E-3</v>
      </c>
      <c r="DA80" s="265">
        <f t="shared" si="202"/>
        <v>40.155227008149005</v>
      </c>
      <c r="DB80" s="269">
        <f t="shared" si="203"/>
        <v>6.4028181327133204E-4</v>
      </c>
      <c r="DC80" s="268">
        <f t="shared" si="204"/>
        <v>3.9676367869615832</v>
      </c>
      <c r="DD80" s="264">
        <f t="shared" si="205"/>
        <v>1.7281095641241497E-2</v>
      </c>
      <c r="DE80" s="270">
        <f t="shared" si="206"/>
        <v>1.447006839578175E-2</v>
      </c>
      <c r="DF80" s="265">
        <f t="shared" si="207"/>
        <v>89.666728754365536</v>
      </c>
      <c r="DG80" s="269">
        <f t="shared" si="208"/>
        <v>4.2299844343034404E-3</v>
      </c>
      <c r="DH80" s="267">
        <f t="shared" si="209"/>
        <v>3.5419145491787625E-3</v>
      </c>
      <c r="DI80" s="272">
        <f t="shared" si="210"/>
        <v>21.948195576251454</v>
      </c>
      <c r="DJ80" s="264">
        <f t="shared" si="211"/>
        <v>1.7963416911133821E-2</v>
      </c>
      <c r="DK80" s="270">
        <f t="shared" si="212"/>
        <v>1.5485013269608244E-2</v>
      </c>
      <c r="DL80" s="270">
        <f t="shared" si="213"/>
        <v>1.5041399962263913E-2</v>
      </c>
      <c r="DM80" s="265">
        <f t="shared" si="214"/>
        <v>93.207101280558788</v>
      </c>
      <c r="DN80" s="269">
        <f t="shared" si="215"/>
        <v>8.1163873817209648E-3</v>
      </c>
      <c r="DO80" s="267">
        <f t="shared" si="216"/>
        <v>6.796136250752499E-3</v>
      </c>
      <c r="DP80" s="268">
        <f t="shared" si="217"/>
        <v>42.113643771827711</v>
      </c>
      <c r="DQ80" s="264">
        <f t="shared" si="218"/>
        <v>6.0696340223794401E-2</v>
      </c>
      <c r="DR80" s="270">
        <f t="shared" si="219"/>
        <v>5.0823177687641524E-2</v>
      </c>
      <c r="DS80" s="265">
        <f t="shared" si="220"/>
        <v>314.9361816065192</v>
      </c>
      <c r="DT80" s="269">
        <f t="shared" si="221"/>
        <v>3.3363416671804466E-2</v>
      </c>
      <c r="DU80" s="268">
        <f t="shared" si="222"/>
        <v>206.74321303841677</v>
      </c>
      <c r="DV80" s="264">
        <f t="shared" si="157"/>
        <v>1.9858719362504901E-2</v>
      </c>
      <c r="DW80" s="265">
        <f t="shared" si="158"/>
        <v>123.05860302677532</v>
      </c>
      <c r="DX80" s="264">
        <f t="shared" si="223"/>
        <v>6.5513324041509779E-5</v>
      </c>
      <c r="DY80" s="270">
        <f t="shared" si="224"/>
        <v>5.6474483509323164E-5</v>
      </c>
      <c r="DZ80" s="270">
        <f t="shared" si="225"/>
        <v>5.4856607439478008E-5</v>
      </c>
      <c r="EA80" s="265">
        <f t="shared" si="226"/>
        <v>0.33993015133876603</v>
      </c>
      <c r="EB80" s="273">
        <f>IFERROR(VLOOKUP(A80,'BARNET SCHS PUPIL PREMIUM Nos'!$E$31:$V$117,17,0),0)</f>
        <v>146</v>
      </c>
      <c r="EC80" s="258">
        <f>IFERROR(VLOOKUP(A80,CFR20212022_BenchMarkDataReport!$B$4:$CL$90,36,0),0)</f>
        <v>0</v>
      </c>
      <c r="ED80" s="258">
        <f>IFERROR(VLOOKUP(A80,CFR20212022_BenchMarkDataReport!$B$4:$CL$90,37,0),0)</f>
        <v>0</v>
      </c>
      <c r="EE80" s="258">
        <f>IFERROR(VLOOKUP(A80,CFR20212022_BenchMarkDataReport!$B$4:$CL$90,38,0),0)</f>
        <v>33035</v>
      </c>
      <c r="EF80" s="258">
        <f>IFERROR(VLOOKUP(A80,CFR20212022_BenchMarkDataReport!$B$4:$CL$90,39,0),0)</f>
        <v>56713.83</v>
      </c>
      <c r="EG80" s="227"/>
    </row>
    <row r="81" spans="1:230" s="5" customFormat="1">
      <c r="A81" s="147">
        <v>2054</v>
      </c>
      <c r="B81" s="298">
        <v>10109</v>
      </c>
      <c r="C81" s="147" t="s">
        <v>110</v>
      </c>
      <c r="D81" s="258">
        <f>IFERROR(VLOOKUP(A81,CFR20212022_BenchMarkDataReport!$B$4:$CL$90,19,0),0)</f>
        <v>952215.82</v>
      </c>
      <c r="E81" s="258">
        <f>IFERROR(VLOOKUP(A81,CFR20212022_BenchMarkDataReport!$B$4:$CL$90,20,0),0)</f>
        <v>0</v>
      </c>
      <c r="F81" s="258">
        <f>IFERROR(VLOOKUP(A81,CFR20212022_BenchMarkDataReport!$B$4:$CL$90,21,0),0)</f>
        <v>57526.42</v>
      </c>
      <c r="G81" s="258">
        <f>IFERROR(VLOOKUP(A81,CFR20212022_BenchMarkDataReport!$B$4:$CL$90,22,0),0)</f>
        <v>0</v>
      </c>
      <c r="H81" s="258">
        <f>IFERROR(VLOOKUP(A81,CFR20212022_BenchMarkDataReport!$B$4:$CL$90,23,0),0)</f>
        <v>16140</v>
      </c>
      <c r="I81" s="258">
        <f>IFERROR(VLOOKUP(A81,CFR20212022_BenchMarkDataReport!$B$4:$CL$90,24,0),0)</f>
        <v>0</v>
      </c>
      <c r="J81" s="258">
        <f>IFERROR(VLOOKUP(A81,CFR20212022_BenchMarkDataReport!$B$4:$CL$90,25,0),0)</f>
        <v>900</v>
      </c>
      <c r="K81" s="258">
        <f>IFERROR(VLOOKUP(A81,CFR20212022_BenchMarkDataReport!$B$4:$CL$90,26,0),0)</f>
        <v>45516</v>
      </c>
      <c r="L81" s="258">
        <f>IFERROR(VLOOKUP(A81,CFR20212022_BenchMarkDataReport!$B$4:$CL$90,27,0),0)</f>
        <v>22768.23</v>
      </c>
      <c r="M81" s="258">
        <f>IFERROR(VLOOKUP(A81,CFR20212022_BenchMarkDataReport!$B$4:$CL$90,28,0),0)</f>
        <v>28750.71</v>
      </c>
      <c r="N81" s="258">
        <f>IFERROR(VLOOKUP(A81,CFR20212022_BenchMarkDataReport!$B$4:$CL$90,29,0),0)</f>
        <v>5000</v>
      </c>
      <c r="O81" s="258">
        <f>IFERROR(VLOOKUP(A81,CFR20212022_BenchMarkDataReport!$B$4:$CL$90,30,0),0)</f>
        <v>0</v>
      </c>
      <c r="P81" s="258">
        <f>IFERROR(VLOOKUP(A81,CFR20212022_BenchMarkDataReport!$B$4:$CL$90,31,0),0)</f>
        <v>39480.910000000003</v>
      </c>
      <c r="Q81" s="258">
        <f>IFERROR(VLOOKUP(A81,CFR20212022_BenchMarkDataReport!$B$4:$CL$90,32,0),0)</f>
        <v>31710.27</v>
      </c>
      <c r="R81" s="258">
        <f>IFERROR(VLOOKUP(A81,CFR20212022_BenchMarkDataReport!$B$4:$CL$90,33,0),0)</f>
        <v>0</v>
      </c>
      <c r="S81" s="258">
        <f>IFERROR(VLOOKUP(A81,CFR20212022_BenchMarkDataReport!$B$4:$CL$90,34,0),0)</f>
        <v>0</v>
      </c>
      <c r="T81" s="258">
        <f>IFERROR(VLOOKUP(A81,CFR20212022_BenchMarkDataReport!$B$4:$CL$90,35,0),0)</f>
        <v>0</v>
      </c>
      <c r="U81" s="258">
        <f t="shared" si="152"/>
        <v>58654</v>
      </c>
      <c r="V81" s="258">
        <f>IFERROR(VLOOKUP(A81,CFR20212022_BenchMarkDataReport!$B$4:$CL$90,40,0),0)</f>
        <v>579134.56000000006</v>
      </c>
      <c r="W81" s="258">
        <f>IFERROR(VLOOKUP(A81,CFR20212022_BenchMarkDataReport!$B$4:$CL$90,41,0),0)</f>
        <v>2419.3200000000002</v>
      </c>
      <c r="X81" s="258">
        <f>IFERROR(VLOOKUP(A81,CFR20212022_BenchMarkDataReport!$B$4:$CL$90,42,0),0)</f>
        <v>149642.14000000001</v>
      </c>
      <c r="Y81" s="258">
        <f>IFERROR(VLOOKUP(A81,CFR20212022_BenchMarkDataReport!$B$4:$CL$90,43,0),0)</f>
        <v>35764.54</v>
      </c>
      <c r="Z81" s="258">
        <f>IFERROR(VLOOKUP(A81,CFR20212022_BenchMarkDataReport!$B$4:$CL$90,44,0),0)</f>
        <v>62572.639999999999</v>
      </c>
      <c r="AA81" s="258">
        <f>IFERROR(VLOOKUP(A81,CFR20212022_BenchMarkDataReport!$B$4:$CL$90,45,0),0)</f>
        <v>0</v>
      </c>
      <c r="AB81" s="258">
        <f>IFERROR(VLOOKUP(A81,CFR20212022_BenchMarkDataReport!$B$4:$CL$90,46,0),0)</f>
        <v>42080.71</v>
      </c>
      <c r="AC81" s="258">
        <f>IFERROR(VLOOKUP(A81,CFR20212022_BenchMarkDataReport!$B$4:$CL$90,47,0),0)</f>
        <v>6607.33</v>
      </c>
      <c r="AD81" s="258">
        <f>IFERROR(VLOOKUP(A81,CFR20212022_BenchMarkDataReport!$B$4:$CL$90,48,0),0)</f>
        <v>875</v>
      </c>
      <c r="AE81" s="258">
        <f>IFERROR(VLOOKUP(A81,CFR20212022_BenchMarkDataReport!$B$4:$CL$90,49,0),0)</f>
        <v>4958.4799999999996</v>
      </c>
      <c r="AF81" s="258">
        <f>IFERROR(VLOOKUP(A81,CFR20212022_BenchMarkDataReport!$B$4:$CL$90,50,0),0)</f>
        <v>775</v>
      </c>
      <c r="AG81" s="258">
        <f>IFERROR(VLOOKUP(A81,CFR20212022_BenchMarkDataReport!$B$4:$CL$90,51,0),0)</f>
        <v>15580.73</v>
      </c>
      <c r="AH81" s="258">
        <f>IFERROR(VLOOKUP(A81,CFR20212022_BenchMarkDataReport!$B$4:$CL$90,52,0),0)</f>
        <v>2227.8000000000002</v>
      </c>
      <c r="AI81" s="258">
        <f>IFERROR(VLOOKUP(A81,CFR20212022_BenchMarkDataReport!$B$4:$CL$90,53,0),0)</f>
        <v>16188.43</v>
      </c>
      <c r="AJ81" s="258">
        <f>IFERROR(VLOOKUP(A81,CFR20212022_BenchMarkDataReport!$B$4:$CL$90,54,0),0)</f>
        <v>2864.51</v>
      </c>
      <c r="AK81" s="258">
        <f>IFERROR(VLOOKUP(A81,CFR20212022_BenchMarkDataReport!$B$4:$CL$90,55,0),0)</f>
        <v>16093.53</v>
      </c>
      <c r="AL81" s="258">
        <f>IFERROR(VLOOKUP(A81,CFR20212022_BenchMarkDataReport!$B$4:$CL$90,56,0),0)</f>
        <v>19086.75</v>
      </c>
      <c r="AM81" s="258">
        <f>IFERROR(VLOOKUP(A81,CFR20212022_BenchMarkDataReport!$B$4:$CL$90,57,0),0)</f>
        <v>10093.82</v>
      </c>
      <c r="AN81" s="258">
        <f>IFERROR(VLOOKUP(A81,CFR20212022_BenchMarkDataReport!$B$4:$CL$90,58,0),0)</f>
        <v>39615.910000000003</v>
      </c>
      <c r="AO81" s="258">
        <f>IFERROR(VLOOKUP(A81,CFR20212022_BenchMarkDataReport!$B$4:$CL$90,59,0),0)</f>
        <v>12967</v>
      </c>
      <c r="AP81" s="258">
        <f>IFERROR(VLOOKUP(A81,CFR20212022_BenchMarkDataReport!$B$4:$CL$90,60,0),0)</f>
        <v>0</v>
      </c>
      <c r="AQ81" s="258">
        <f>IFERROR(VLOOKUP(A81,CFR20212022_BenchMarkDataReport!$B$4:$CL$90,61,0),0)</f>
        <v>8902.0400000000009</v>
      </c>
      <c r="AR81" s="258">
        <f>IFERROR(VLOOKUP(A81,CFR20212022_BenchMarkDataReport!$B$4:$CL$90,62,0),0)</f>
        <v>4956.09</v>
      </c>
      <c r="AS81" s="258">
        <f>IFERROR(VLOOKUP(A81,CFR20212022_BenchMarkDataReport!$B$4:$CL$90,63,0),0)</f>
        <v>6549.5</v>
      </c>
      <c r="AT81" s="258">
        <f>IFERROR(VLOOKUP(A81,CFR20212022_BenchMarkDataReport!$B$4:$CL$90,64,0),0)</f>
        <v>58431.93</v>
      </c>
      <c r="AU81" s="258">
        <f>IFERROR(VLOOKUP(A81,CFR20212022_BenchMarkDataReport!$B$4:$CL$90,65,0),0)</f>
        <v>14833.73</v>
      </c>
      <c r="AV81" s="258">
        <f>IFERROR(VLOOKUP(A81,CFR20212022_BenchMarkDataReport!$B$4:$CL$90,66,0),0)</f>
        <v>124621.1</v>
      </c>
      <c r="AW81" s="258">
        <f>IFERROR(VLOOKUP(A81,CFR20212022_BenchMarkDataReport!$B$4:$CL$90,67,0),0)</f>
        <v>18306</v>
      </c>
      <c r="AX81" s="258">
        <f>IFERROR(VLOOKUP(A81,CFR20212022_BenchMarkDataReport!$B$4:$CL$90,68,0),0)</f>
        <v>0</v>
      </c>
      <c r="AY81" s="258">
        <f>IFERROR(VLOOKUP(A81,CFR20212022_BenchMarkDataReport!$B$4:$CL$90,69,0),0)</f>
        <v>0</v>
      </c>
      <c r="AZ81" s="258">
        <f>IFERROR(VLOOKUP(A81,CFR20212022_BenchMarkDataReport!$B$4:$CL$90,70,0),0)</f>
        <v>0</v>
      </c>
      <c r="BA81" s="258">
        <f>IFERROR(VLOOKUP(A81,CFR20212022_BenchMarkDataReport!$B$4:$CL$90,71,0),0)</f>
        <v>0</v>
      </c>
      <c r="BB81" s="258">
        <f>IFERROR(VLOOKUP(A81,CFR20212022_BenchMarkDataReport!$B$4:$CL$90,72,0),0)</f>
        <v>0</v>
      </c>
      <c r="BC81" s="259">
        <f t="shared" si="159"/>
        <v>1258662.3599999999</v>
      </c>
      <c r="BD81" s="260">
        <f t="shared" si="154"/>
        <v>1256148.5900000001</v>
      </c>
      <c r="BE81" s="300">
        <f t="shared" si="155"/>
        <v>2513.7699999997858</v>
      </c>
      <c r="BF81" s="258">
        <f>IFERROR(VLOOKUP(A81,CFR20212022_BenchMarkDataReport!$B$4:$CL$90,16,0),0)</f>
        <v>100713.34</v>
      </c>
      <c r="BG81" s="300">
        <f t="shared" si="156"/>
        <v>103227.10999999978</v>
      </c>
      <c r="BH81" s="261">
        <f>IFERROR(VLOOKUP(A81,'Pupil Nos BenchmarkData 21-22'!$A$6:$E$94,5,0),0)</f>
        <v>207</v>
      </c>
      <c r="BI81" s="260">
        <f t="shared" si="153"/>
        <v>1009742.24</v>
      </c>
      <c r="BJ81" s="227" t="s">
        <v>183</v>
      </c>
      <c r="BK81" s="262">
        <f t="shared" si="160"/>
        <v>0.75652998791510695</v>
      </c>
      <c r="BL81" s="263">
        <f t="shared" si="161"/>
        <v>4600.0764251207729</v>
      </c>
      <c r="BM81" s="264">
        <f t="shared" si="162"/>
        <v>0</v>
      </c>
      <c r="BN81" s="265">
        <f t="shared" si="163"/>
        <v>0</v>
      </c>
      <c r="BO81" s="262">
        <f t="shared" si="164"/>
        <v>4.5704409560638648E-2</v>
      </c>
      <c r="BP81" s="263">
        <f t="shared" si="165"/>
        <v>277.9054106280193</v>
      </c>
      <c r="BQ81" s="264">
        <f t="shared" si="166"/>
        <v>0</v>
      </c>
      <c r="BR81" s="265">
        <f t="shared" si="167"/>
        <v>0</v>
      </c>
      <c r="BS81" s="262">
        <f t="shared" si="168"/>
        <v>1.2823137096115277E-2</v>
      </c>
      <c r="BT81" s="263">
        <f t="shared" si="169"/>
        <v>77.971014492753625</v>
      </c>
      <c r="BU81" s="264">
        <f t="shared" si="170"/>
        <v>0</v>
      </c>
      <c r="BV81" s="265">
        <f t="shared" si="171"/>
        <v>0</v>
      </c>
      <c r="BW81" s="262">
        <f t="shared" si="172"/>
        <v>7.1504481948598197E-4</v>
      </c>
      <c r="BX81" s="263">
        <f t="shared" si="173"/>
        <v>4.3478260869565215</v>
      </c>
      <c r="BY81" s="264">
        <f t="shared" si="174"/>
        <v>5.4251427682321413E-2</v>
      </c>
      <c r="BZ81" s="266">
        <f t="shared" si="175"/>
        <v>329.8755072463768</v>
      </c>
      <c r="CA81" s="267">
        <f t="shared" si="176"/>
        <v>3.136735573788034E-2</v>
      </c>
      <c r="CB81" s="268">
        <f t="shared" si="177"/>
        <v>190.72903381642513</v>
      </c>
      <c r="CC81" s="264">
        <f t="shared" si="178"/>
        <v>2.5193626986668612E-2</v>
      </c>
      <c r="CD81" s="265">
        <f t="shared" si="179"/>
        <v>153.18971014492755</v>
      </c>
      <c r="CE81" s="269">
        <f t="shared" si="180"/>
        <v>0.59063351652992158</v>
      </c>
      <c r="CF81" s="267">
        <f t="shared" si="181"/>
        <v>0.47382652326236246</v>
      </c>
      <c r="CG81" s="267">
        <f t="shared" si="182"/>
        <v>0.47477473186512109</v>
      </c>
      <c r="CH81" s="268">
        <f t="shared" si="183"/>
        <v>2881.099565217391</v>
      </c>
      <c r="CI81" s="264">
        <f t="shared" si="184"/>
        <v>0.14819835604777712</v>
      </c>
      <c r="CJ81" s="270">
        <f t="shared" si="185"/>
        <v>0.11888981887088451</v>
      </c>
      <c r="CK81" s="270">
        <f t="shared" si="186"/>
        <v>0.11912773790559285</v>
      </c>
      <c r="CL81" s="271">
        <f t="shared" si="187"/>
        <v>722.90888888888901</v>
      </c>
      <c r="CM81" s="269">
        <f t="shared" si="188"/>
        <v>3.5419474974128048E-2</v>
      </c>
      <c r="CN81" s="267">
        <f t="shared" si="189"/>
        <v>2.841472116477687E-2</v>
      </c>
      <c r="CO81" s="267">
        <f t="shared" si="190"/>
        <v>2.8471583923045281E-2</v>
      </c>
      <c r="CP81" s="268">
        <f t="shared" si="191"/>
        <v>172.77555555555557</v>
      </c>
      <c r="CQ81" s="264">
        <f t="shared" si="192"/>
        <v>6.1968923871105953E-2</v>
      </c>
      <c r="CR81" s="270">
        <f t="shared" si="193"/>
        <v>4.9713602303957043E-2</v>
      </c>
      <c r="CS81" s="270">
        <f t="shared" si="194"/>
        <v>4.9813087797200804E-2</v>
      </c>
      <c r="CT81" s="265">
        <f t="shared" si="195"/>
        <v>302.28328502415457</v>
      </c>
      <c r="CU81" s="269">
        <f t="shared" si="196"/>
        <v>0.86320436589837035</v>
      </c>
      <c r="CV81" s="267">
        <f t="shared" si="197"/>
        <v>0.69249223437491225</v>
      </c>
      <c r="CW81" s="267">
        <f t="shared" si="198"/>
        <v>0.6938780307829665</v>
      </c>
      <c r="CX81" s="268">
        <f t="shared" si="199"/>
        <v>4210.6952173913041</v>
      </c>
      <c r="CY81" s="264">
        <f t="shared" si="200"/>
        <v>1.543040330767979E-2</v>
      </c>
      <c r="CZ81" s="270">
        <f t="shared" si="201"/>
        <v>1.2403572414948138E-2</v>
      </c>
      <c r="DA81" s="265">
        <f t="shared" si="202"/>
        <v>75.269227053140099</v>
      </c>
      <c r="DB81" s="269">
        <f t="shared" si="203"/>
        <v>2.2803910483233515E-3</v>
      </c>
      <c r="DC81" s="268">
        <f t="shared" si="204"/>
        <v>13.838212560386474</v>
      </c>
      <c r="DD81" s="264">
        <f t="shared" si="205"/>
        <v>1.5938255687907046E-2</v>
      </c>
      <c r="DE81" s="270">
        <f t="shared" si="206"/>
        <v>1.2811804374194298E-2</v>
      </c>
      <c r="DF81" s="265">
        <f t="shared" si="207"/>
        <v>77.746521739130444</v>
      </c>
      <c r="DG81" s="269">
        <f t="shared" si="208"/>
        <v>9.9964323568359388E-3</v>
      </c>
      <c r="DH81" s="267">
        <f t="shared" si="209"/>
        <v>8.0355302552224325E-3</v>
      </c>
      <c r="DI81" s="272">
        <f t="shared" si="210"/>
        <v>48.762415458937198</v>
      </c>
      <c r="DJ81" s="264">
        <f t="shared" si="211"/>
        <v>3.9233686014759572E-2</v>
      </c>
      <c r="DK81" s="270">
        <f t="shared" si="212"/>
        <v>3.1474612460803235E-2</v>
      </c>
      <c r="DL81" s="270">
        <f t="shared" si="213"/>
        <v>3.1537598589351602E-2</v>
      </c>
      <c r="DM81" s="265">
        <f t="shared" si="214"/>
        <v>191.38120772946863</v>
      </c>
      <c r="DN81" s="269">
        <f t="shared" si="215"/>
        <v>8.8161509416502179E-3</v>
      </c>
      <c r="DO81" s="267">
        <f t="shared" si="216"/>
        <v>7.0867730703737843E-3</v>
      </c>
      <c r="DP81" s="268">
        <f t="shared" si="217"/>
        <v>43.005024154589378</v>
      </c>
      <c r="DQ81" s="264">
        <f t="shared" si="218"/>
        <v>0.12341872515900693</v>
      </c>
      <c r="DR81" s="270">
        <f t="shared" si="219"/>
        <v>9.9208884197370312E-2</v>
      </c>
      <c r="DS81" s="265">
        <f t="shared" si="220"/>
        <v>602.03429951690828</v>
      </c>
      <c r="DT81" s="269">
        <f t="shared" si="221"/>
        <v>4.6516734138912656E-2</v>
      </c>
      <c r="DU81" s="268">
        <f t="shared" si="222"/>
        <v>282.27985507246376</v>
      </c>
      <c r="DV81" s="264">
        <f t="shared" si="157"/>
        <v>1.2887352761348081E-2</v>
      </c>
      <c r="DW81" s="265">
        <f t="shared" si="158"/>
        <v>78.20497584541063</v>
      </c>
      <c r="DX81" s="264">
        <f t="shared" si="223"/>
        <v>1.188422106616041E-5</v>
      </c>
      <c r="DY81" s="270">
        <f t="shared" si="224"/>
        <v>9.5339309264797595E-6</v>
      </c>
      <c r="DZ81" s="270">
        <f t="shared" si="225"/>
        <v>9.5530099667587888E-6</v>
      </c>
      <c r="EA81" s="265">
        <f t="shared" si="226"/>
        <v>5.7971014492753624E-2</v>
      </c>
      <c r="EB81" s="273">
        <f>IFERROR(VLOOKUP(A81,'BARNET SCHS PUPIL PREMIUM Nos'!$E$31:$V$117,17,0),0)</f>
        <v>12</v>
      </c>
      <c r="EC81" s="258">
        <f>IFERROR(VLOOKUP(A81,CFR20212022_BenchMarkDataReport!$B$4:$CL$90,36,0),0)</f>
        <v>0</v>
      </c>
      <c r="ED81" s="258">
        <f>IFERROR(VLOOKUP(A81,CFR20212022_BenchMarkDataReport!$B$4:$CL$90,37,0),0)</f>
        <v>1709</v>
      </c>
      <c r="EE81" s="258">
        <f>IFERROR(VLOOKUP(A81,CFR20212022_BenchMarkDataReport!$B$4:$CL$90,38,0),0)</f>
        <v>6900</v>
      </c>
      <c r="EF81" s="258">
        <f>IFERROR(VLOOKUP(A81,CFR20212022_BenchMarkDataReport!$B$4:$CL$90,39,0),0)</f>
        <v>50045</v>
      </c>
      <c r="EG81" s="227"/>
    </row>
    <row r="82" spans="1:230" s="41" customFormat="1" ht="16.5" thickBot="1">
      <c r="A82" s="276">
        <v>5999</v>
      </c>
      <c r="B82" s="277"/>
      <c r="C82" s="278" t="s">
        <v>184</v>
      </c>
      <c r="D82" s="279">
        <f t="shared" ref="D82:AI82" si="227">AVERAGE(D9:D81)</f>
        <v>1679041.8467123287</v>
      </c>
      <c r="E82" s="279">
        <f t="shared" si="227"/>
        <v>0</v>
      </c>
      <c r="F82" s="279">
        <f t="shared" si="227"/>
        <v>98855.296027397286</v>
      </c>
      <c r="G82" s="279">
        <f t="shared" si="227"/>
        <v>0</v>
      </c>
      <c r="H82" s="279">
        <f t="shared" si="227"/>
        <v>95974.727808219148</v>
      </c>
      <c r="I82" s="279">
        <f t="shared" si="227"/>
        <v>10481.10602739726</v>
      </c>
      <c r="J82" s="279">
        <f t="shared" si="227"/>
        <v>9430.18794520548</v>
      </c>
      <c r="K82" s="279">
        <f t="shared" si="227"/>
        <v>16139.406438356164</v>
      </c>
      <c r="L82" s="279">
        <f t="shared" si="227"/>
        <v>40976.952328767133</v>
      </c>
      <c r="M82" s="279">
        <f t="shared" si="227"/>
        <v>29314.04561643835</v>
      </c>
      <c r="N82" s="279">
        <f t="shared" si="227"/>
        <v>2788.3332876712329</v>
      </c>
      <c r="O82" s="279">
        <f t="shared" si="227"/>
        <v>444.15410958904107</v>
      </c>
      <c r="P82" s="279">
        <f t="shared" si="227"/>
        <v>18948.995479452053</v>
      </c>
      <c r="Q82" s="279">
        <f t="shared" si="227"/>
        <v>70641.780958904114</v>
      </c>
      <c r="R82" s="279">
        <f t="shared" si="227"/>
        <v>0</v>
      </c>
      <c r="S82" s="279">
        <f t="shared" si="227"/>
        <v>9983.6164383561645</v>
      </c>
      <c r="T82" s="279">
        <f t="shared" si="227"/>
        <v>-149.45849315068492</v>
      </c>
      <c r="U82" s="279">
        <f t="shared" si="227"/>
        <v>85695.205753424656</v>
      </c>
      <c r="V82" s="279">
        <f t="shared" si="227"/>
        <v>988942.08520547918</v>
      </c>
      <c r="W82" s="279">
        <f t="shared" si="227"/>
        <v>2738.5197260273972</v>
      </c>
      <c r="X82" s="279">
        <f t="shared" si="227"/>
        <v>444309.46945205482</v>
      </c>
      <c r="Y82" s="279">
        <f t="shared" si="227"/>
        <v>53188.678904109591</v>
      </c>
      <c r="Z82" s="279">
        <f t="shared" si="227"/>
        <v>92453.689041095859</v>
      </c>
      <c r="AA82" s="279">
        <f t="shared" si="227"/>
        <v>5665.7923287671229</v>
      </c>
      <c r="AB82" s="279">
        <f t="shared" si="227"/>
        <v>54850.024657534261</v>
      </c>
      <c r="AC82" s="279">
        <f t="shared" si="227"/>
        <v>13852.403835616438</v>
      </c>
      <c r="AD82" s="279">
        <f t="shared" si="227"/>
        <v>5303.0058904109583</v>
      </c>
      <c r="AE82" s="279">
        <f t="shared" si="227"/>
        <v>4895.9294520547937</v>
      </c>
      <c r="AF82" s="279">
        <f t="shared" si="227"/>
        <v>618.10547945205485</v>
      </c>
      <c r="AG82" s="279">
        <f t="shared" si="227"/>
        <v>23067.667534246564</v>
      </c>
      <c r="AH82" s="279">
        <f t="shared" si="227"/>
        <v>4653.9830136986302</v>
      </c>
      <c r="AI82" s="279">
        <f t="shared" si="227"/>
        <v>27493.627123287664</v>
      </c>
      <c r="AJ82" s="279">
        <f t="shared" ref="AJ82:BI82" si="228">AVERAGE(AJ9:AJ81)</f>
        <v>4920.7310958904109</v>
      </c>
      <c r="AK82" s="279">
        <f t="shared" si="228"/>
        <v>29475.928630136979</v>
      </c>
      <c r="AL82" s="279">
        <f t="shared" si="228"/>
        <v>22129.30547945205</v>
      </c>
      <c r="AM82" s="279">
        <f t="shared" si="228"/>
        <v>17167.730410958906</v>
      </c>
      <c r="AN82" s="279">
        <f t="shared" si="228"/>
        <v>62777.454794520549</v>
      </c>
      <c r="AO82" s="279">
        <f t="shared" si="228"/>
        <v>15274.681917808219</v>
      </c>
      <c r="AP82" s="279">
        <f t="shared" si="228"/>
        <v>0</v>
      </c>
      <c r="AQ82" s="279">
        <f t="shared" si="228"/>
        <v>17058.129315068491</v>
      </c>
      <c r="AR82" s="279">
        <f t="shared" si="228"/>
        <v>10902.802602739726</v>
      </c>
      <c r="AS82" s="279">
        <f t="shared" si="228"/>
        <v>11276.490821917809</v>
      </c>
      <c r="AT82" s="279">
        <f t="shared" si="228"/>
        <v>85833.333835616446</v>
      </c>
      <c r="AU82" s="279">
        <f t="shared" si="228"/>
        <v>48070.096438356159</v>
      </c>
      <c r="AV82" s="279">
        <f t="shared" si="228"/>
        <v>95524.698493150689</v>
      </c>
      <c r="AW82" s="279">
        <f t="shared" si="228"/>
        <v>36620.051095890405</v>
      </c>
      <c r="AX82" s="279">
        <f t="shared" si="228"/>
        <v>290.59589041095893</v>
      </c>
      <c r="AY82" s="279">
        <f t="shared" si="228"/>
        <v>0</v>
      </c>
      <c r="AZ82" s="279">
        <f t="shared" si="228"/>
        <v>3812.6524657534246</v>
      </c>
      <c r="BA82" s="279">
        <f t="shared" si="228"/>
        <v>6975.3436986301385</v>
      </c>
      <c r="BB82" s="279">
        <f t="shared" si="228"/>
        <v>1954.3463013698629</v>
      </c>
      <c r="BC82" s="279">
        <f t="shared" si="228"/>
        <v>2158732.0384931513</v>
      </c>
      <c r="BD82" s="279">
        <f t="shared" si="228"/>
        <v>2183167.6649315073</v>
      </c>
      <c r="BE82" s="279">
        <f t="shared" si="228"/>
        <v>-24435.626438356114</v>
      </c>
      <c r="BF82" s="279">
        <f t="shared" si="228"/>
        <v>105467.66164383564</v>
      </c>
      <c r="BG82" s="279">
        <f t="shared" si="228"/>
        <v>81032.035205479522</v>
      </c>
      <c r="BH82" s="279">
        <f t="shared" si="228"/>
        <v>339.16438356164383</v>
      </c>
      <c r="BI82" s="279">
        <f t="shared" si="228"/>
        <v>1777897.1427397255</v>
      </c>
      <c r="BJ82" s="280" t="s">
        <v>183</v>
      </c>
      <c r="BK82" s="281">
        <f t="shared" ref="BK82:CP82" si="229">AVERAGE(BK9:BK81)</f>
        <v>0.77943244623124019</v>
      </c>
      <c r="BL82" s="282">
        <f t="shared" si="229"/>
        <v>4958.6541319873295</v>
      </c>
      <c r="BM82" s="283">
        <f t="shared" si="229"/>
        <v>0</v>
      </c>
      <c r="BN82" s="284">
        <f t="shared" si="229"/>
        <v>0</v>
      </c>
      <c r="BO82" s="281">
        <f t="shared" si="229"/>
        <v>4.3094375723096358E-2</v>
      </c>
      <c r="BP82" s="282">
        <f t="shared" si="229"/>
        <v>288.9245572970849</v>
      </c>
      <c r="BQ82" s="283">
        <f t="shared" si="229"/>
        <v>0</v>
      </c>
      <c r="BR82" s="284">
        <f t="shared" si="229"/>
        <v>0</v>
      </c>
      <c r="BS82" s="281">
        <f t="shared" si="229"/>
        <v>4.0777947642111498E-2</v>
      </c>
      <c r="BT82" s="282">
        <f t="shared" si="229"/>
        <v>265.22267388111442</v>
      </c>
      <c r="BU82" s="283">
        <f t="shared" si="229"/>
        <v>5.261756839088058E-3</v>
      </c>
      <c r="BV82" s="284">
        <f t="shared" si="229"/>
        <v>35.609848322533182</v>
      </c>
      <c r="BW82" s="281">
        <f t="shared" si="229"/>
        <v>4.9705134603222527E-3</v>
      </c>
      <c r="BX82" s="282">
        <f t="shared" si="229"/>
        <v>32.801694886704063</v>
      </c>
      <c r="BY82" s="283">
        <f t="shared" si="229"/>
        <v>2.6537979335133292E-2</v>
      </c>
      <c r="BZ82" s="285">
        <f t="shared" si="229"/>
        <v>168.17123954989651</v>
      </c>
      <c r="CA82" s="286">
        <f t="shared" si="229"/>
        <v>9.8577962973715096E-3</v>
      </c>
      <c r="CB82" s="287">
        <f t="shared" si="229"/>
        <v>61.596097902148074</v>
      </c>
      <c r="CC82" s="283">
        <f t="shared" si="229"/>
        <v>3.2968255306942904E-2</v>
      </c>
      <c r="CD82" s="288">
        <f t="shared" si="229"/>
        <v>233.89577278807363</v>
      </c>
      <c r="CE82" s="289">
        <f t="shared" si="229"/>
        <v>0.59980516353742941</v>
      </c>
      <c r="CF82" s="286">
        <f t="shared" si="229"/>
        <v>0.49108021677169722</v>
      </c>
      <c r="CG82" s="286">
        <f t="shared" si="229"/>
        <v>0.48440498643039909</v>
      </c>
      <c r="CH82" s="287">
        <f t="shared" si="229"/>
        <v>3126.0307225712913</v>
      </c>
      <c r="CI82" s="283">
        <f t="shared" si="229"/>
        <v>0.24023293650684813</v>
      </c>
      <c r="CJ82" s="290">
        <f t="shared" si="229"/>
        <v>0.19539561357795454</v>
      </c>
      <c r="CK82" s="290">
        <f t="shared" si="229"/>
        <v>0.19284826237167177</v>
      </c>
      <c r="CL82" s="291">
        <f t="shared" si="229"/>
        <v>1269.5905310476746</v>
      </c>
      <c r="CM82" s="289">
        <f t="shared" si="229"/>
        <v>2.9707915791798326E-2</v>
      </c>
      <c r="CN82" s="286">
        <f t="shared" si="229"/>
        <v>2.4573976778418348E-2</v>
      </c>
      <c r="CO82" s="286">
        <f t="shared" si="229"/>
        <v>2.4218777980356231E-2</v>
      </c>
      <c r="CP82" s="287">
        <f t="shared" si="229"/>
        <v>156.86125849234838</v>
      </c>
      <c r="CQ82" s="283">
        <f t="shared" ref="CQ82:DX82" si="230">AVERAGE(CQ9:CQ81)</f>
        <v>5.4092677638896178E-2</v>
      </c>
      <c r="CR82" s="290">
        <f t="shared" si="230"/>
        <v>4.3894740507931282E-2</v>
      </c>
      <c r="CS82" s="290">
        <f t="shared" si="230"/>
        <v>4.3326233429807653E-2</v>
      </c>
      <c r="CT82" s="288">
        <f t="shared" si="230"/>
        <v>279.78771607006058</v>
      </c>
      <c r="CU82" s="289">
        <f t="shared" si="230"/>
        <v>0.92970287539104857</v>
      </c>
      <c r="CV82" s="286">
        <f t="shared" si="230"/>
        <v>0.75985011049812534</v>
      </c>
      <c r="CW82" s="286">
        <f t="shared" si="230"/>
        <v>0.74958897429426286</v>
      </c>
      <c r="CX82" s="287">
        <f t="shared" si="230"/>
        <v>4864.5905358164428</v>
      </c>
      <c r="CY82" s="283">
        <f t="shared" si="230"/>
        <v>1.3379344326096606E-2</v>
      </c>
      <c r="CZ82" s="290">
        <f t="shared" si="230"/>
        <v>1.0732173827375045E-2</v>
      </c>
      <c r="DA82" s="288">
        <f t="shared" si="230"/>
        <v>70.349035695590359</v>
      </c>
      <c r="DB82" s="289">
        <f t="shared" si="230"/>
        <v>2.1959164626461254E-3</v>
      </c>
      <c r="DC82" s="287">
        <f t="shared" si="230"/>
        <v>14.203228167409861</v>
      </c>
      <c r="DD82" s="283">
        <f t="shared" si="230"/>
        <v>1.6738271535683358E-2</v>
      </c>
      <c r="DE82" s="290">
        <f t="shared" si="230"/>
        <v>1.353801625311596E-2</v>
      </c>
      <c r="DF82" s="288">
        <f t="shared" si="230"/>
        <v>87.150753153506457</v>
      </c>
      <c r="DG82" s="289">
        <f t="shared" si="230"/>
        <v>1.1128807636964916E-2</v>
      </c>
      <c r="DH82" s="286">
        <f t="shared" si="230"/>
        <v>8.4298873709471658E-3</v>
      </c>
      <c r="DI82" s="287">
        <f t="shared" si="230"/>
        <v>55.525120877135656</v>
      </c>
      <c r="DJ82" s="283">
        <f t="shared" si="230"/>
        <v>3.6696879848732745E-2</v>
      </c>
      <c r="DK82" s="290">
        <f t="shared" si="230"/>
        <v>2.9690381836053333E-2</v>
      </c>
      <c r="DL82" s="290">
        <f t="shared" si="230"/>
        <v>2.9447167924137492E-2</v>
      </c>
      <c r="DM82" s="288">
        <f t="shared" si="230"/>
        <v>189.79946541572798</v>
      </c>
      <c r="DN82" s="289">
        <f t="shared" si="230"/>
        <v>9.411525883740255E-3</v>
      </c>
      <c r="DO82" s="286">
        <f t="shared" si="230"/>
        <v>7.5869550585384053E-3</v>
      </c>
      <c r="DP82" s="287">
        <f t="shared" si="230"/>
        <v>49.156339224876497</v>
      </c>
      <c r="DQ82" s="283">
        <f t="shared" si="230"/>
        <v>5.3838690650911195E-2</v>
      </c>
      <c r="DR82" s="290">
        <f t="shared" si="230"/>
        <v>4.4009540950698658E-2</v>
      </c>
      <c r="DS82" s="288">
        <f t="shared" si="230"/>
        <v>284.67120897882165</v>
      </c>
      <c r="DT82" s="289">
        <f t="shared" si="230"/>
        <v>3.9973029814760586E-2</v>
      </c>
      <c r="DU82" s="287">
        <f t="shared" si="230"/>
        <v>255.1206102805177</v>
      </c>
      <c r="DV82" s="283">
        <f t="shared" ref="DV82" si="231">AVERAGE(DV9:DV81)</f>
        <v>1.3106113333370268E-2</v>
      </c>
      <c r="DW82" s="288">
        <f t="shared" ref="DW82" si="232">AVERAGE(DW9:DW81)</f>
        <v>84.734259537585658</v>
      </c>
      <c r="DX82" s="283">
        <f t="shared" si="230"/>
        <v>3.4485198214946212E-5</v>
      </c>
      <c r="DY82" s="290">
        <f t="shared" ref="DY82:EF82" si="233">AVERAGE(DY9:DY81)</f>
        <v>2.892386808091278E-5</v>
      </c>
      <c r="DZ82" s="290">
        <f t="shared" si="233"/>
        <v>2.8599673034883987E-5</v>
      </c>
      <c r="EA82" s="284">
        <f t="shared" si="233"/>
        <v>0.18865123298611675</v>
      </c>
      <c r="EB82" s="305">
        <f t="shared" si="233"/>
        <v>68.547945205479451</v>
      </c>
      <c r="EC82" s="279">
        <f t="shared" si="233"/>
        <v>65.233835616438355</v>
      </c>
      <c r="ED82" s="279">
        <f t="shared" si="233"/>
        <v>2445.4220547945201</v>
      </c>
      <c r="EE82" s="279">
        <f t="shared" si="233"/>
        <v>15146.857534246574</v>
      </c>
      <c r="EF82" s="279">
        <f t="shared" si="233"/>
        <v>68037.692328767123</v>
      </c>
      <c r="EG82" s="227"/>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row>
    <row r="83" spans="1:230" s="5" customFormat="1" ht="15.75" thickTop="1">
      <c r="A83" s="147">
        <v>3521</v>
      </c>
      <c r="B83" s="298">
        <v>10698</v>
      </c>
      <c r="C83" s="147" t="s">
        <v>94</v>
      </c>
      <c r="D83" s="258">
        <f>IFERROR(VLOOKUP(A83,CFR20212022_BenchMarkDataReport!$B$4:$CL$90,19,0),0)</f>
        <v>8344058.6900000004</v>
      </c>
      <c r="E83" s="258">
        <f>IFERROR(VLOOKUP(A83,CFR20212022_BenchMarkDataReport!$B$4:$CL$90,20,0),0)</f>
        <v>399027.98</v>
      </c>
      <c r="F83" s="258">
        <f>IFERROR(VLOOKUP(A83,CFR20212022_BenchMarkDataReport!$B$4:$CL$90,21,0),0)</f>
        <v>253222.18</v>
      </c>
      <c r="G83" s="258">
        <f>IFERROR(VLOOKUP(A83,CFR20212022_BenchMarkDataReport!$B$4:$CL$90,22,0),0)</f>
        <v>0</v>
      </c>
      <c r="H83" s="258">
        <f>IFERROR(VLOOKUP(A83,CFR20212022_BenchMarkDataReport!$B$4:$CL$90,23,0),0)</f>
        <v>529650.03</v>
      </c>
      <c r="I83" s="258">
        <f>IFERROR(VLOOKUP(A83,CFR20212022_BenchMarkDataReport!$B$4:$CL$90,24,0),0)</f>
        <v>1500</v>
      </c>
      <c r="J83" s="258">
        <f>IFERROR(VLOOKUP(A83,CFR20212022_BenchMarkDataReport!$B$4:$CL$90,25,0),0)</f>
        <v>17168.75</v>
      </c>
      <c r="K83" s="258">
        <f>IFERROR(VLOOKUP(A83,CFR20212022_BenchMarkDataReport!$B$4:$CL$90,26,0),0)</f>
        <v>26154.36</v>
      </c>
      <c r="L83" s="258">
        <f>IFERROR(VLOOKUP(A83,CFR20212022_BenchMarkDataReport!$B$4:$CL$90,27,0),0)</f>
        <v>60588.46</v>
      </c>
      <c r="M83" s="258">
        <f>IFERROR(VLOOKUP(A83,CFR20212022_BenchMarkDataReport!$B$4:$CL$90,28,0),0)</f>
        <v>205401.39</v>
      </c>
      <c r="N83" s="258">
        <f>IFERROR(VLOOKUP(A83,CFR20212022_BenchMarkDataReport!$B$4:$CL$90,29,0),0)</f>
        <v>0</v>
      </c>
      <c r="O83" s="258">
        <f>IFERROR(VLOOKUP(A83,CFR20212022_BenchMarkDataReport!$B$4:$CL$90,30,0),0)</f>
        <v>0</v>
      </c>
      <c r="P83" s="258">
        <f>IFERROR(VLOOKUP(A83,CFR20212022_BenchMarkDataReport!$B$4:$CL$90,31,0),0)</f>
        <v>12456.69</v>
      </c>
      <c r="Q83" s="258">
        <f>IFERROR(VLOOKUP(A83,CFR20212022_BenchMarkDataReport!$B$4:$CL$90,32,0),0)</f>
        <v>10849.41</v>
      </c>
      <c r="R83" s="258">
        <f>IFERROR(VLOOKUP(A83,CFR20212022_BenchMarkDataReport!$B$4:$CL$90,33,0),0)</f>
        <v>0</v>
      </c>
      <c r="S83" s="258">
        <f>IFERROR(VLOOKUP(A83,CFR20212022_BenchMarkDataReport!$B$4:$CL$90,34,0),0)</f>
        <v>0</v>
      </c>
      <c r="T83" s="258">
        <f>IFERROR(VLOOKUP(A83,CFR20212022_BenchMarkDataReport!$B$4:$CL$90,35,0),0)</f>
        <v>0</v>
      </c>
      <c r="U83" s="258">
        <f t="shared" si="152"/>
        <v>277337.36</v>
      </c>
      <c r="V83" s="258">
        <f>IFERROR(VLOOKUP(A83,CFR20212022_BenchMarkDataReport!$B$4:$CL$90,40,0),0)</f>
        <v>5245359.7300000004</v>
      </c>
      <c r="W83" s="258">
        <f>IFERROR(VLOOKUP(A83,CFR20212022_BenchMarkDataReport!$B$4:$CL$90,41,0),0)</f>
        <v>0</v>
      </c>
      <c r="X83" s="258">
        <f>IFERROR(VLOOKUP(A83,CFR20212022_BenchMarkDataReport!$B$4:$CL$90,42,0),0)</f>
        <v>1101677.72</v>
      </c>
      <c r="Y83" s="258">
        <f>IFERROR(VLOOKUP(A83,CFR20212022_BenchMarkDataReport!$B$4:$CL$90,43,0),0)</f>
        <v>215025.46</v>
      </c>
      <c r="Z83" s="258">
        <f>IFERROR(VLOOKUP(A83,CFR20212022_BenchMarkDataReport!$B$4:$CL$90,44,0),0)</f>
        <v>676298.01</v>
      </c>
      <c r="AA83" s="258">
        <f>IFERROR(VLOOKUP(A83,CFR20212022_BenchMarkDataReport!$B$4:$CL$90,45,0),0)</f>
        <v>0</v>
      </c>
      <c r="AB83" s="258">
        <f>IFERROR(VLOOKUP(A83,CFR20212022_BenchMarkDataReport!$B$4:$CL$90,46,0),0)</f>
        <v>82706.86</v>
      </c>
      <c r="AC83" s="258">
        <f>IFERROR(VLOOKUP(A83,CFR20212022_BenchMarkDataReport!$B$4:$CL$90,47,0),0)</f>
        <v>157364.97</v>
      </c>
      <c r="AD83" s="258">
        <f>IFERROR(VLOOKUP(A83,CFR20212022_BenchMarkDataReport!$B$4:$CL$90,48,0),0)</f>
        <v>20582.8</v>
      </c>
      <c r="AE83" s="258">
        <f>IFERROR(VLOOKUP(A83,CFR20212022_BenchMarkDataReport!$B$4:$CL$90,49,0),0)</f>
        <v>2248.52</v>
      </c>
      <c r="AF83" s="258">
        <f>IFERROR(VLOOKUP(A83,CFR20212022_BenchMarkDataReport!$B$4:$CL$90,50,0),0)</f>
        <v>100</v>
      </c>
      <c r="AG83" s="258">
        <f>IFERROR(VLOOKUP(A83,CFR20212022_BenchMarkDataReport!$B$4:$CL$90,51,0),0)</f>
        <v>58006.83</v>
      </c>
      <c r="AH83" s="258">
        <f>IFERROR(VLOOKUP(A83,CFR20212022_BenchMarkDataReport!$B$4:$CL$90,52,0),0)</f>
        <v>15148.75</v>
      </c>
      <c r="AI83" s="258">
        <f>IFERROR(VLOOKUP(A83,CFR20212022_BenchMarkDataReport!$B$4:$CL$90,53,0),0)</f>
        <v>165144.04</v>
      </c>
      <c r="AJ83" s="258">
        <f>IFERROR(VLOOKUP(A83,CFR20212022_BenchMarkDataReport!$B$4:$CL$90,54,0),0)</f>
        <v>29433.599999999999</v>
      </c>
      <c r="AK83" s="258">
        <f>IFERROR(VLOOKUP(A83,CFR20212022_BenchMarkDataReport!$B$4:$CL$90,55,0),0)</f>
        <v>127265.95</v>
      </c>
      <c r="AL83" s="258">
        <f>IFERROR(VLOOKUP(A83,CFR20212022_BenchMarkDataReport!$B$4:$CL$90,56,0),0)</f>
        <v>43198.400000000001</v>
      </c>
      <c r="AM83" s="258">
        <f>IFERROR(VLOOKUP(A83,CFR20212022_BenchMarkDataReport!$B$4:$CL$90,57,0),0)</f>
        <v>59357.84</v>
      </c>
      <c r="AN83" s="258">
        <f>IFERROR(VLOOKUP(A83,CFR20212022_BenchMarkDataReport!$B$4:$CL$90,58,0),0)</f>
        <v>213596.78</v>
      </c>
      <c r="AO83" s="258">
        <f>IFERROR(VLOOKUP(A83,CFR20212022_BenchMarkDataReport!$B$4:$CL$90,59,0),0)</f>
        <v>84116.69</v>
      </c>
      <c r="AP83" s="258">
        <f>IFERROR(VLOOKUP(A83,CFR20212022_BenchMarkDataReport!$B$4:$CL$90,60,0),0)</f>
        <v>48753.2</v>
      </c>
      <c r="AQ83" s="258">
        <f>IFERROR(VLOOKUP(A83,CFR20212022_BenchMarkDataReport!$B$4:$CL$90,61,0),0)</f>
        <v>102045.41</v>
      </c>
      <c r="AR83" s="258">
        <f>IFERROR(VLOOKUP(A83,CFR20212022_BenchMarkDataReport!$B$4:$CL$90,62,0),0)</f>
        <v>43993.77</v>
      </c>
      <c r="AS83" s="258">
        <f>IFERROR(VLOOKUP(A83,CFR20212022_BenchMarkDataReport!$B$4:$CL$90,63,0),0)</f>
        <v>37143.269999999997</v>
      </c>
      <c r="AT83" s="258">
        <f>IFERROR(VLOOKUP(A83,CFR20212022_BenchMarkDataReport!$B$4:$CL$90,64,0),0)</f>
        <v>381177.55</v>
      </c>
      <c r="AU83" s="258">
        <f>IFERROR(VLOOKUP(A83,CFR20212022_BenchMarkDataReport!$B$4:$CL$90,65,0),0)</f>
        <v>423193.49</v>
      </c>
      <c r="AV83" s="258">
        <f>IFERROR(VLOOKUP(A83,CFR20212022_BenchMarkDataReport!$B$4:$CL$90,66,0),0)</f>
        <v>407080.07</v>
      </c>
      <c r="AW83" s="258">
        <f>IFERROR(VLOOKUP(A83,CFR20212022_BenchMarkDataReport!$B$4:$CL$90,67,0),0)</f>
        <v>107617.36</v>
      </c>
      <c r="AX83" s="258">
        <f>IFERROR(VLOOKUP(A83,CFR20212022_BenchMarkDataReport!$B$4:$CL$90,68,0),0)</f>
        <v>0</v>
      </c>
      <c r="AY83" s="258">
        <f>IFERROR(VLOOKUP(A83,CFR20212022_BenchMarkDataReport!$B$4:$CL$90,69,0),0)</f>
        <v>0</v>
      </c>
      <c r="AZ83" s="258">
        <f>IFERROR(VLOOKUP(A83,CFR20212022_BenchMarkDataReport!$B$4:$CL$90,70,0),0)</f>
        <v>53620.98</v>
      </c>
      <c r="BA83" s="258">
        <f>IFERROR(VLOOKUP(A83,CFR20212022_BenchMarkDataReport!$B$4:$CL$90,71,0),0)</f>
        <v>0</v>
      </c>
      <c r="BB83" s="258">
        <f>IFERROR(VLOOKUP(A83,CFR20212022_BenchMarkDataReport!$B$4:$CL$90,72,0),0)</f>
        <v>0</v>
      </c>
      <c r="BC83" s="259">
        <f>SUM(D83:R83)+U83</f>
        <v>10137415.299999999</v>
      </c>
      <c r="BD83" s="260">
        <f>SUM(V83:AZ83)</f>
        <v>9901258.0500000007</v>
      </c>
      <c r="BE83" s="300">
        <f>BC83-BD83</f>
        <v>236157.24999999814</v>
      </c>
      <c r="BF83" s="258">
        <f>IFERROR(VLOOKUP(A83,CFR20212022_BenchMarkDataReport!$B$4:$CL$90,16,0),0)</f>
        <v>1028875</v>
      </c>
      <c r="BG83" s="300">
        <f>SUM(BE83:BF83)</f>
        <v>1265032.2499999981</v>
      </c>
      <c r="BH83" s="261">
        <f>IFERROR(VLOOKUP(A83,'Pupil Nos BenchmarkData 21-22'!$A$6:$E$94,5,0),0)</f>
        <v>1567</v>
      </c>
      <c r="BI83" s="260">
        <f t="shared" si="153"/>
        <v>8996308.8499999996</v>
      </c>
      <c r="BJ83" s="227" t="s">
        <v>183</v>
      </c>
      <c r="BK83" s="262">
        <f>IFERROR(D83/BC83,0)</f>
        <v>0.82309528051001335</v>
      </c>
      <c r="BL83" s="263">
        <f>D83/BH83</f>
        <v>5324.8619591576262</v>
      </c>
      <c r="BM83" s="264">
        <f>E83/BC83</f>
        <v>3.9361905198852812E-2</v>
      </c>
      <c r="BN83" s="265">
        <f>E83/BH83</f>
        <v>254.64453095086151</v>
      </c>
      <c r="BO83" s="262">
        <f>F83/BC83</f>
        <v>2.4978968751531765E-2</v>
      </c>
      <c r="BP83" s="263">
        <f>F83/BH83</f>
        <v>161.59679642629229</v>
      </c>
      <c r="BQ83" s="264">
        <f>G83/BC83</f>
        <v>0</v>
      </c>
      <c r="BR83" s="265">
        <f>G83/BH83</f>
        <v>0</v>
      </c>
      <c r="BS83" s="262">
        <f>H83/BC83</f>
        <v>5.2247048614058468E-2</v>
      </c>
      <c r="BT83" s="263">
        <f>H83/BH83</f>
        <v>338.00257179323552</v>
      </c>
      <c r="BU83" s="264">
        <f>I83/BC83</f>
        <v>1.479667110017679E-4</v>
      </c>
      <c r="BV83" s="265">
        <f>I83/BH83</f>
        <v>0.95724313975749842</v>
      </c>
      <c r="BW83" s="262">
        <f>J83/BC83</f>
        <v>1.693602313007735E-3</v>
      </c>
      <c r="BX83" s="263">
        <f>J83/BH83</f>
        <v>10.956445437141033</v>
      </c>
      <c r="BY83" s="264">
        <f>IFERROR((K83+L83)/BC83,0)</f>
        <v>8.5566998522789151E-3</v>
      </c>
      <c r="BZ83" s="266">
        <f>IFERROR((K83+L83)/BH83,0)</f>
        <v>55.35597957881302</v>
      </c>
      <c r="CA83" s="267">
        <f>P83/BC83</f>
        <v>1.2287836328457415E-3</v>
      </c>
      <c r="CB83" s="268">
        <f>P83/BH83</f>
        <v>7.9493873643905557</v>
      </c>
      <c r="CC83" s="264">
        <f>Q83/BC83</f>
        <v>1.0702343426731271E-3</v>
      </c>
      <c r="CD83" s="265">
        <f>Q83/BH83</f>
        <v>6.9236821952776006</v>
      </c>
      <c r="CE83" s="269">
        <f>(V83+W83+AU83)/BI83</f>
        <v>0.63009766722270777</v>
      </c>
      <c r="CF83" s="267">
        <f>(V83+W83+AU83)/BC83</f>
        <v>0.55917145073458729</v>
      </c>
      <c r="CG83" s="267">
        <f>(V83+W83+AU83)/BD83</f>
        <v>0.57250838139704885</v>
      </c>
      <c r="CH83" s="268">
        <f>(V83+W83+AU83)/BH83</f>
        <v>3617.4557881301853</v>
      </c>
      <c r="CI83" s="264">
        <f>X83/BI83</f>
        <v>0.12245885933540399</v>
      </c>
      <c r="CJ83" s="270">
        <f>X83/BC83</f>
        <v>0.10867441920821772</v>
      </c>
      <c r="CK83" s="270">
        <f>X83/BD83</f>
        <v>0.11126643851081125</v>
      </c>
      <c r="CL83" s="271">
        <f>X83/BH83</f>
        <v>703.04895979578816</v>
      </c>
      <c r="CM83" s="269">
        <f>Y83/BI83</f>
        <v>2.3901520455247599E-2</v>
      </c>
      <c r="CN83" s="267">
        <f>Y83/BC83</f>
        <v>2.1211073398561466E-2</v>
      </c>
      <c r="CO83" s="267">
        <f>Y83/BD83</f>
        <v>2.1716983732183403E-2</v>
      </c>
      <c r="CP83" s="268">
        <f>Y83/BH83</f>
        <v>137.22109763880025</v>
      </c>
      <c r="CQ83" s="264">
        <f>Z83/BI83</f>
        <v>7.5175054711466474E-2</v>
      </c>
      <c r="CR83" s="270">
        <f>Z83/BC83</f>
        <v>6.6713061464493822E-2</v>
      </c>
      <c r="CS83" s="270">
        <f>Z83/BD83</f>
        <v>6.8304250488653809E-2</v>
      </c>
      <c r="CT83" s="265">
        <f>Z83/BH83</f>
        <v>431.58775366943206</v>
      </c>
      <c r="CU83" s="269">
        <f>(V83+W83+X83+Y83+Z83+AA83+AB83)/BI83</f>
        <v>0.81378573168928059</v>
      </c>
      <c r="CV83" s="267">
        <f>(V83+W83+X83+Y83+Z83+AA83+AB83)/BC83</f>
        <v>0.72218288028507627</v>
      </c>
      <c r="CW83" s="267">
        <f>(V83+W83+X83+Y83+Z83+AA83+AB83)/BD83</f>
        <v>0.73940783514878694</v>
      </c>
      <c r="CX83" s="268">
        <f>(V83+W83+X83+Y83+Z83+AA83+AB83)/BH83</f>
        <v>4672.027938736439</v>
      </c>
      <c r="CY83" s="264">
        <f>AG83/BI83</f>
        <v>6.4478477748126668E-3</v>
      </c>
      <c r="CZ83" s="270">
        <f>AG83/BD83</f>
        <v>5.8585312802750351E-3</v>
      </c>
      <c r="DA83" s="265">
        <f>AG83/BH83</f>
        <v>37.017760051052967</v>
      </c>
      <c r="DB83" s="269">
        <f>AJ83/BD83</f>
        <v>2.9727131493154039E-3</v>
      </c>
      <c r="DC83" s="268">
        <f>AJ83/BH83</f>
        <v>18.783407785577534</v>
      </c>
      <c r="DD83" s="264">
        <f>AK83/BI83</f>
        <v>1.4146462968531811E-2</v>
      </c>
      <c r="DE83" s="270">
        <f>AK83/BD83</f>
        <v>1.2853513094732441E-2</v>
      </c>
      <c r="DF83" s="265">
        <f>AK83/BH83</f>
        <v>81.216305041480538</v>
      </c>
      <c r="DG83" s="269">
        <f>AM83/BI83</f>
        <v>6.5980215874869609E-3</v>
      </c>
      <c r="DH83" s="267">
        <f>AM83/BD83</f>
        <v>5.9949795975674011E-3</v>
      </c>
      <c r="DI83" s="272">
        <f>AM83/BH83</f>
        <v>37.87992342054882</v>
      </c>
      <c r="DJ83" s="264">
        <f>AN83/BI83</f>
        <v>2.3742713101718379E-2</v>
      </c>
      <c r="DK83" s="270">
        <f>AN83/BC83</f>
        <v>2.1070142011445463E-2</v>
      </c>
      <c r="DL83" s="270">
        <f>AN83/BD83</f>
        <v>2.1572690957185989E-2</v>
      </c>
      <c r="DM83" s="265">
        <f>AN83/BH83</f>
        <v>136.30936821952776</v>
      </c>
      <c r="DN83" s="269">
        <f>AQ83/BI83</f>
        <v>1.1343030980978382E-2</v>
      </c>
      <c r="DO83" s="267">
        <f>IFERROR(AQ83/BD83,0)</f>
        <v>1.0306307489885086E-2</v>
      </c>
      <c r="DP83" s="268">
        <f>AQ83/BH83</f>
        <v>65.121512444160814</v>
      </c>
      <c r="DQ83" s="264">
        <f>IFERROR(AV83/BI83,0)</f>
        <v>4.5249677038377803E-2</v>
      </c>
      <c r="DR83" s="270">
        <f>IFERROR(AV83/BD83,0)</f>
        <v>4.1113974400455097E-2</v>
      </c>
      <c r="DS83" s="265">
        <f>AV83/BH83</f>
        <v>259.78306955966815</v>
      </c>
      <c r="DT83" s="269">
        <f>AT83/BD83</f>
        <v>3.8497890679659641E-2</v>
      </c>
      <c r="DU83" s="268">
        <f>AT83/BH83</f>
        <v>243.25306317804723</v>
      </c>
      <c r="DV83" s="264">
        <f t="shared" si="157"/>
        <v>1.6679096652773329E-2</v>
      </c>
      <c r="DW83" s="265">
        <f t="shared" si="158"/>
        <v>105.38866624122528</v>
      </c>
      <c r="DX83" s="264">
        <f>EB83/BI83</f>
        <v>5.2465962192927602E-5</v>
      </c>
      <c r="DY83" s="270">
        <f>EB83/BC83</f>
        <v>4.6560191728556298E-5</v>
      </c>
      <c r="DZ83" s="270">
        <f>EB83/BD83</f>
        <v>4.767070988519484E-5</v>
      </c>
      <c r="EA83" s="265">
        <f>EB83/BH83</f>
        <v>0.30121250797702614</v>
      </c>
      <c r="EB83" s="273">
        <f>IFERROR(VLOOKUP(A83,'BARNET SCHS PUPIL PREMIUM Nos'!$E$31:$V$117,17,0),0)</f>
        <v>472</v>
      </c>
      <c r="EC83" s="258">
        <f>IFERROR(VLOOKUP(A83,CFR20212022_BenchMarkDataReport!$B$4:$CL$90,36,0),0)</f>
        <v>0</v>
      </c>
      <c r="ED83" s="258">
        <f>IFERROR(VLOOKUP(A83,CFR20212022_BenchMarkDataReport!$B$4:$CL$90,37,0),0)</f>
        <v>33900</v>
      </c>
      <c r="EE83" s="258">
        <f>IFERROR(VLOOKUP(A83,CFR20212022_BenchMarkDataReport!$B$4:$CL$90,38,0),0)</f>
        <v>47430</v>
      </c>
      <c r="EF83" s="258">
        <f>IFERROR(VLOOKUP(A83,CFR20212022_BenchMarkDataReport!$B$4:$CL$90,39,0),0)</f>
        <v>196007.36</v>
      </c>
      <c r="EG83" s="227"/>
    </row>
    <row r="84" spans="1:230" s="41" customFormat="1" ht="16.5" thickBot="1">
      <c r="A84" s="276">
        <v>4999</v>
      </c>
      <c r="B84" s="306"/>
      <c r="C84" s="42" t="s">
        <v>369</v>
      </c>
      <c r="D84" s="307">
        <f>AVERAGE(D83)</f>
        <v>8344058.6900000004</v>
      </c>
      <c r="E84" s="307">
        <f t="shared" ref="E84:BI84" si="234">AVERAGE(E83)</f>
        <v>399027.98</v>
      </c>
      <c r="F84" s="307">
        <f t="shared" si="234"/>
        <v>253222.18</v>
      </c>
      <c r="G84" s="307">
        <f t="shared" si="234"/>
        <v>0</v>
      </c>
      <c r="H84" s="307">
        <f t="shared" si="234"/>
        <v>529650.03</v>
      </c>
      <c r="I84" s="307">
        <f t="shared" si="234"/>
        <v>1500</v>
      </c>
      <c r="J84" s="307">
        <f t="shared" si="234"/>
        <v>17168.75</v>
      </c>
      <c r="K84" s="307">
        <f>AVERAGE(K83)</f>
        <v>26154.36</v>
      </c>
      <c r="L84" s="307">
        <f>AVERAGE(L83)</f>
        <v>60588.46</v>
      </c>
      <c r="M84" s="307">
        <f t="shared" si="234"/>
        <v>205401.39</v>
      </c>
      <c r="N84" s="307">
        <f t="shared" si="234"/>
        <v>0</v>
      </c>
      <c r="O84" s="307">
        <f t="shared" si="234"/>
        <v>0</v>
      </c>
      <c r="P84" s="307">
        <f t="shared" si="234"/>
        <v>12456.69</v>
      </c>
      <c r="Q84" s="307">
        <f t="shared" si="234"/>
        <v>10849.41</v>
      </c>
      <c r="R84" s="307">
        <f t="shared" si="234"/>
        <v>0</v>
      </c>
      <c r="S84" s="307">
        <f t="shared" si="234"/>
        <v>0</v>
      </c>
      <c r="T84" s="307">
        <f t="shared" si="234"/>
        <v>0</v>
      </c>
      <c r="U84" s="307">
        <f t="shared" si="234"/>
        <v>277337.36</v>
      </c>
      <c r="V84" s="307">
        <f t="shared" si="234"/>
        <v>5245359.7300000004</v>
      </c>
      <c r="W84" s="307">
        <f t="shared" si="234"/>
        <v>0</v>
      </c>
      <c r="X84" s="307">
        <f t="shared" si="234"/>
        <v>1101677.72</v>
      </c>
      <c r="Y84" s="307">
        <f t="shared" si="234"/>
        <v>215025.46</v>
      </c>
      <c r="Z84" s="307">
        <f t="shared" si="234"/>
        <v>676298.01</v>
      </c>
      <c r="AA84" s="307">
        <f t="shared" si="234"/>
        <v>0</v>
      </c>
      <c r="AB84" s="307">
        <f t="shared" si="234"/>
        <v>82706.86</v>
      </c>
      <c r="AC84" s="307">
        <f t="shared" si="234"/>
        <v>157364.97</v>
      </c>
      <c r="AD84" s="307">
        <f t="shared" si="234"/>
        <v>20582.8</v>
      </c>
      <c r="AE84" s="307">
        <f t="shared" si="234"/>
        <v>2248.52</v>
      </c>
      <c r="AF84" s="307">
        <f t="shared" si="234"/>
        <v>100</v>
      </c>
      <c r="AG84" s="307">
        <f t="shared" si="234"/>
        <v>58006.83</v>
      </c>
      <c r="AH84" s="307">
        <f t="shared" si="234"/>
        <v>15148.75</v>
      </c>
      <c r="AI84" s="307">
        <f t="shared" si="234"/>
        <v>165144.04</v>
      </c>
      <c r="AJ84" s="307">
        <f t="shared" si="234"/>
        <v>29433.599999999999</v>
      </c>
      <c r="AK84" s="307">
        <f t="shared" si="234"/>
        <v>127265.95</v>
      </c>
      <c r="AL84" s="307">
        <f t="shared" si="234"/>
        <v>43198.400000000001</v>
      </c>
      <c r="AM84" s="307">
        <f t="shared" si="234"/>
        <v>59357.84</v>
      </c>
      <c r="AN84" s="307">
        <f t="shared" si="234"/>
        <v>213596.78</v>
      </c>
      <c r="AO84" s="307">
        <f t="shared" si="234"/>
        <v>84116.69</v>
      </c>
      <c r="AP84" s="307">
        <f t="shared" si="234"/>
        <v>48753.2</v>
      </c>
      <c r="AQ84" s="307">
        <f t="shared" si="234"/>
        <v>102045.41</v>
      </c>
      <c r="AR84" s="307">
        <f t="shared" si="234"/>
        <v>43993.77</v>
      </c>
      <c r="AS84" s="307">
        <f t="shared" si="234"/>
        <v>37143.269999999997</v>
      </c>
      <c r="AT84" s="307">
        <f t="shared" si="234"/>
        <v>381177.55</v>
      </c>
      <c r="AU84" s="307">
        <f t="shared" si="234"/>
        <v>423193.49</v>
      </c>
      <c r="AV84" s="307">
        <f t="shared" si="234"/>
        <v>407080.07</v>
      </c>
      <c r="AW84" s="307">
        <f t="shared" si="234"/>
        <v>107617.36</v>
      </c>
      <c r="AX84" s="307">
        <f t="shared" si="234"/>
        <v>0</v>
      </c>
      <c r="AY84" s="307">
        <f t="shared" si="234"/>
        <v>0</v>
      </c>
      <c r="AZ84" s="307">
        <f t="shared" si="234"/>
        <v>53620.98</v>
      </c>
      <c r="BA84" s="307">
        <f t="shared" si="234"/>
        <v>0</v>
      </c>
      <c r="BB84" s="307">
        <f t="shared" si="234"/>
        <v>0</v>
      </c>
      <c r="BC84" s="307">
        <f t="shared" si="234"/>
        <v>10137415.299999999</v>
      </c>
      <c r="BD84" s="307">
        <f t="shared" si="234"/>
        <v>9901258.0500000007</v>
      </c>
      <c r="BE84" s="307">
        <f t="shared" si="234"/>
        <v>236157.24999999814</v>
      </c>
      <c r="BF84" s="307">
        <f t="shared" si="234"/>
        <v>1028875</v>
      </c>
      <c r="BG84" s="307">
        <f t="shared" si="234"/>
        <v>1265032.2499999981</v>
      </c>
      <c r="BH84" s="307">
        <f t="shared" si="234"/>
        <v>1567</v>
      </c>
      <c r="BI84" s="307">
        <f t="shared" si="234"/>
        <v>8996308.8499999996</v>
      </c>
      <c r="BJ84" s="308" t="s">
        <v>318</v>
      </c>
      <c r="BK84" s="281">
        <f t="shared" ref="BK84:CP84" si="235">AVERAGE(BK83)</f>
        <v>0.82309528051001335</v>
      </c>
      <c r="BL84" s="282">
        <f t="shared" si="235"/>
        <v>5324.8619591576262</v>
      </c>
      <c r="BM84" s="283">
        <f t="shared" si="235"/>
        <v>3.9361905198852812E-2</v>
      </c>
      <c r="BN84" s="284">
        <f t="shared" si="235"/>
        <v>254.64453095086151</v>
      </c>
      <c r="BO84" s="281">
        <f t="shared" si="235"/>
        <v>2.4978968751531765E-2</v>
      </c>
      <c r="BP84" s="282">
        <f t="shared" si="235"/>
        <v>161.59679642629229</v>
      </c>
      <c r="BQ84" s="283">
        <f t="shared" si="235"/>
        <v>0</v>
      </c>
      <c r="BR84" s="284">
        <f t="shared" si="235"/>
        <v>0</v>
      </c>
      <c r="BS84" s="281">
        <f t="shared" si="235"/>
        <v>5.2247048614058468E-2</v>
      </c>
      <c r="BT84" s="282">
        <f t="shared" si="235"/>
        <v>338.00257179323552</v>
      </c>
      <c r="BU84" s="283">
        <f t="shared" si="235"/>
        <v>1.479667110017679E-4</v>
      </c>
      <c r="BV84" s="284">
        <f t="shared" si="235"/>
        <v>0.95724313975749842</v>
      </c>
      <c r="BW84" s="281">
        <f t="shared" si="235"/>
        <v>1.693602313007735E-3</v>
      </c>
      <c r="BX84" s="282">
        <f t="shared" si="235"/>
        <v>10.956445437141033</v>
      </c>
      <c r="BY84" s="283">
        <f t="shared" si="235"/>
        <v>8.5566998522789151E-3</v>
      </c>
      <c r="BZ84" s="285">
        <f t="shared" si="235"/>
        <v>55.35597957881302</v>
      </c>
      <c r="CA84" s="286">
        <f t="shared" si="235"/>
        <v>1.2287836328457415E-3</v>
      </c>
      <c r="CB84" s="309">
        <f t="shared" si="235"/>
        <v>7.9493873643905557</v>
      </c>
      <c r="CC84" s="283">
        <f t="shared" si="235"/>
        <v>1.0702343426731271E-3</v>
      </c>
      <c r="CD84" s="310">
        <f t="shared" si="235"/>
        <v>6.9236821952776006</v>
      </c>
      <c r="CE84" s="289">
        <f t="shared" si="235"/>
        <v>0.63009766722270777</v>
      </c>
      <c r="CF84" s="286">
        <f t="shared" si="235"/>
        <v>0.55917145073458729</v>
      </c>
      <c r="CG84" s="286">
        <f t="shared" si="235"/>
        <v>0.57250838139704885</v>
      </c>
      <c r="CH84" s="311">
        <f t="shared" si="235"/>
        <v>3617.4557881301853</v>
      </c>
      <c r="CI84" s="290">
        <f t="shared" si="235"/>
        <v>0.12245885933540399</v>
      </c>
      <c r="CJ84" s="290">
        <f t="shared" si="235"/>
        <v>0.10867441920821772</v>
      </c>
      <c r="CK84" s="290">
        <f t="shared" si="235"/>
        <v>0.11126643851081125</v>
      </c>
      <c r="CL84" s="312">
        <f t="shared" si="235"/>
        <v>703.04895979578816</v>
      </c>
      <c r="CM84" s="286">
        <f t="shared" si="235"/>
        <v>2.3901520455247599E-2</v>
      </c>
      <c r="CN84" s="286">
        <f t="shared" si="235"/>
        <v>2.1211073398561466E-2</v>
      </c>
      <c r="CO84" s="286">
        <f t="shared" si="235"/>
        <v>2.1716983732183403E-2</v>
      </c>
      <c r="CP84" s="311">
        <f t="shared" si="235"/>
        <v>137.22109763880025</v>
      </c>
      <c r="CQ84" s="290">
        <f t="shared" ref="CQ84:DX84" si="236">AVERAGE(CQ83)</f>
        <v>7.5175054711466474E-2</v>
      </c>
      <c r="CR84" s="290">
        <f t="shared" si="236"/>
        <v>6.6713061464493822E-2</v>
      </c>
      <c r="CS84" s="290">
        <f t="shared" si="236"/>
        <v>6.8304250488653809E-2</v>
      </c>
      <c r="CT84" s="285">
        <f t="shared" si="236"/>
        <v>431.58775366943206</v>
      </c>
      <c r="CU84" s="286">
        <f t="shared" si="236"/>
        <v>0.81378573168928059</v>
      </c>
      <c r="CV84" s="313">
        <f t="shared" si="236"/>
        <v>0.72218288028507627</v>
      </c>
      <c r="CW84" s="313">
        <f t="shared" si="236"/>
        <v>0.73940783514878694</v>
      </c>
      <c r="CX84" s="309">
        <f t="shared" si="236"/>
        <v>4672.027938736439</v>
      </c>
      <c r="CY84" s="283">
        <f t="shared" si="236"/>
        <v>6.4478477748126668E-3</v>
      </c>
      <c r="CZ84" s="290">
        <f t="shared" si="236"/>
        <v>5.8585312802750351E-3</v>
      </c>
      <c r="DA84" s="284">
        <f t="shared" si="236"/>
        <v>37.017760051052967</v>
      </c>
      <c r="DB84" s="289">
        <f t="shared" si="236"/>
        <v>2.9727131493154039E-3</v>
      </c>
      <c r="DC84" s="314">
        <f t="shared" si="236"/>
        <v>18.783407785577534</v>
      </c>
      <c r="DD84" s="290">
        <f t="shared" si="236"/>
        <v>1.4146462968531811E-2</v>
      </c>
      <c r="DE84" s="290">
        <f t="shared" si="236"/>
        <v>1.2853513094732441E-2</v>
      </c>
      <c r="DF84" s="285">
        <f t="shared" si="236"/>
        <v>81.216305041480538</v>
      </c>
      <c r="DG84" s="286">
        <f t="shared" si="236"/>
        <v>6.5980215874869609E-3</v>
      </c>
      <c r="DH84" s="286">
        <f t="shared" si="236"/>
        <v>5.9949795975674011E-3</v>
      </c>
      <c r="DI84" s="311">
        <f t="shared" si="236"/>
        <v>37.87992342054882</v>
      </c>
      <c r="DJ84" s="290">
        <f t="shared" si="236"/>
        <v>2.3742713101718379E-2</v>
      </c>
      <c r="DK84" s="290">
        <f t="shared" si="236"/>
        <v>2.1070142011445463E-2</v>
      </c>
      <c r="DL84" s="290">
        <f t="shared" si="236"/>
        <v>2.1572690957185989E-2</v>
      </c>
      <c r="DM84" s="284">
        <f t="shared" si="236"/>
        <v>136.30936821952776</v>
      </c>
      <c r="DN84" s="289">
        <f t="shared" si="236"/>
        <v>1.1343030980978382E-2</v>
      </c>
      <c r="DO84" s="286">
        <f t="shared" si="236"/>
        <v>1.0306307489885086E-2</v>
      </c>
      <c r="DP84" s="314">
        <f t="shared" si="236"/>
        <v>65.121512444160814</v>
      </c>
      <c r="DQ84" s="283">
        <f t="shared" si="236"/>
        <v>4.5249677038377803E-2</v>
      </c>
      <c r="DR84" s="290">
        <f t="shared" si="236"/>
        <v>4.1113974400455097E-2</v>
      </c>
      <c r="DS84" s="284">
        <f t="shared" si="236"/>
        <v>259.78306955966815</v>
      </c>
      <c r="DT84" s="289">
        <f t="shared" si="236"/>
        <v>3.8497890679659641E-2</v>
      </c>
      <c r="DU84" s="314">
        <f t="shared" si="236"/>
        <v>243.25306317804723</v>
      </c>
      <c r="DV84" s="283">
        <f t="shared" ref="DV84:DW84" si="237">AVERAGE(DV83)</f>
        <v>1.6679096652773329E-2</v>
      </c>
      <c r="DW84" s="284">
        <f t="shared" si="237"/>
        <v>105.38866624122528</v>
      </c>
      <c r="DX84" s="283">
        <f t="shared" si="236"/>
        <v>5.2465962192927602E-5</v>
      </c>
      <c r="DY84" s="290">
        <f t="shared" ref="DY84:EF84" si="238">AVERAGE(DY83)</f>
        <v>4.6560191728556298E-5</v>
      </c>
      <c r="DZ84" s="290">
        <f t="shared" si="238"/>
        <v>4.767070988519484E-5</v>
      </c>
      <c r="EA84" s="284">
        <f t="shared" si="238"/>
        <v>0.30121250797702614</v>
      </c>
      <c r="EB84" s="315">
        <f t="shared" si="238"/>
        <v>472</v>
      </c>
      <c r="EC84" s="316">
        <f t="shared" si="238"/>
        <v>0</v>
      </c>
      <c r="ED84" s="307">
        <f t="shared" si="238"/>
        <v>33900</v>
      </c>
      <c r="EE84" s="307">
        <f t="shared" si="238"/>
        <v>47430</v>
      </c>
      <c r="EF84" s="307">
        <f t="shared" si="238"/>
        <v>196007.36</v>
      </c>
      <c r="EG84" s="280"/>
    </row>
    <row r="85" spans="1:230" s="5" customFormat="1" ht="15.75" thickTop="1">
      <c r="A85" s="293">
        <v>5405</v>
      </c>
      <c r="B85" s="294">
        <v>10145</v>
      </c>
      <c r="C85" s="293" t="s">
        <v>112</v>
      </c>
      <c r="D85" s="258">
        <f>IFERROR(VLOOKUP(A85,CFR20212022_BenchMarkDataReport!$B$4:$CL$90,19,0),0)</f>
        <v>5272843.04</v>
      </c>
      <c r="E85" s="258">
        <f>IFERROR(VLOOKUP(A85,CFR20212022_BenchMarkDataReport!$B$4:$CL$90,20,0),0)</f>
        <v>1691588.03</v>
      </c>
      <c r="F85" s="258">
        <f>IFERROR(VLOOKUP(A85,CFR20212022_BenchMarkDataReport!$B$4:$CL$90,21,0),0)</f>
        <v>165665.51999999999</v>
      </c>
      <c r="G85" s="258">
        <f>IFERROR(VLOOKUP(A85,CFR20212022_BenchMarkDataReport!$B$4:$CL$90,22,0),0)</f>
        <v>0</v>
      </c>
      <c r="H85" s="258">
        <f>IFERROR(VLOOKUP(A85,CFR20212022_BenchMarkDataReport!$B$4:$CL$90,23,0),0)</f>
        <v>123125.01</v>
      </c>
      <c r="I85" s="258">
        <f>IFERROR(VLOOKUP(A85,CFR20212022_BenchMarkDataReport!$B$4:$CL$90,24,0),0)</f>
        <v>13972.72</v>
      </c>
      <c r="J85" s="258">
        <f>IFERROR(VLOOKUP(A85,CFR20212022_BenchMarkDataReport!$B$4:$CL$90,25,0),0)</f>
        <v>3270</v>
      </c>
      <c r="K85" s="258">
        <f>IFERROR(VLOOKUP(A85,CFR20212022_BenchMarkDataReport!$B$4:$CL$90,26,0),0)</f>
        <v>837.4</v>
      </c>
      <c r="L85" s="258">
        <f>IFERROR(VLOOKUP(A85,CFR20212022_BenchMarkDataReport!$B$4:$CL$90,27,0),0)</f>
        <v>56411.7</v>
      </c>
      <c r="M85" s="258">
        <f>IFERROR(VLOOKUP(A85,CFR20212022_BenchMarkDataReport!$B$4:$CL$90,28,0),0)</f>
        <v>364580.39</v>
      </c>
      <c r="N85" s="258">
        <f>IFERROR(VLOOKUP(A85,CFR20212022_BenchMarkDataReport!$B$4:$CL$90,29,0),0)</f>
        <v>0</v>
      </c>
      <c r="O85" s="258">
        <f>IFERROR(VLOOKUP(A85,CFR20212022_BenchMarkDataReport!$B$4:$CL$90,30,0),0)</f>
        <v>0</v>
      </c>
      <c r="P85" s="258">
        <f>IFERROR(VLOOKUP(A85,CFR20212022_BenchMarkDataReport!$B$4:$CL$90,31,0),0)</f>
        <v>24269.86</v>
      </c>
      <c r="Q85" s="258">
        <f>IFERROR(VLOOKUP(A85,CFR20212022_BenchMarkDataReport!$B$4:$CL$90,32,0),0)</f>
        <v>1000</v>
      </c>
      <c r="R85" s="258">
        <f>IFERROR(VLOOKUP(A85,CFR20212022_BenchMarkDataReport!$B$4:$CL$90,33,0),0)</f>
        <v>0</v>
      </c>
      <c r="S85" s="258">
        <f>IFERROR(VLOOKUP(A85,CFR20212022_BenchMarkDataReport!$B$4:$CL$90,34,0),0)</f>
        <v>0</v>
      </c>
      <c r="T85" s="258">
        <f>IFERROR(VLOOKUP(A85,CFR20212022_BenchMarkDataReport!$B$4:$CL$90,35,0),0)</f>
        <v>0</v>
      </c>
      <c r="U85" s="258">
        <f t="shared" si="152"/>
        <v>91275.62</v>
      </c>
      <c r="V85" s="258">
        <f>IFERROR(VLOOKUP(A85,CFR20212022_BenchMarkDataReport!$B$4:$CL$90,40,0),0)</f>
        <v>4618991.4800000004</v>
      </c>
      <c r="W85" s="258">
        <f>IFERROR(VLOOKUP(A85,CFR20212022_BenchMarkDataReport!$B$4:$CL$90,41,0),0)</f>
        <v>320</v>
      </c>
      <c r="X85" s="258">
        <f>IFERROR(VLOOKUP(A85,CFR20212022_BenchMarkDataReport!$B$4:$CL$90,42,0),0)</f>
        <v>655315.55000000005</v>
      </c>
      <c r="Y85" s="258">
        <f>IFERROR(VLOOKUP(A85,CFR20212022_BenchMarkDataReport!$B$4:$CL$90,43,0),0)</f>
        <v>101741.04</v>
      </c>
      <c r="Z85" s="258">
        <f>IFERROR(VLOOKUP(A85,CFR20212022_BenchMarkDataReport!$B$4:$CL$90,44,0),0)</f>
        <v>581126.22</v>
      </c>
      <c r="AA85" s="258">
        <f>IFERROR(VLOOKUP(A85,CFR20212022_BenchMarkDataReport!$B$4:$CL$90,45,0),0)</f>
        <v>162734.39999999999</v>
      </c>
      <c r="AB85" s="258">
        <f>IFERROR(VLOOKUP(A85,CFR20212022_BenchMarkDataReport!$B$4:$CL$90,46,0),0)</f>
        <v>0</v>
      </c>
      <c r="AC85" s="258">
        <f>IFERROR(VLOOKUP(A85,CFR20212022_BenchMarkDataReport!$B$4:$CL$90,47,0),0)</f>
        <v>22058.79</v>
      </c>
      <c r="AD85" s="258">
        <f>IFERROR(VLOOKUP(A85,CFR20212022_BenchMarkDataReport!$B$4:$CL$90,48,0),0)</f>
        <v>14580.21</v>
      </c>
      <c r="AE85" s="258">
        <f>IFERROR(VLOOKUP(A85,CFR20212022_BenchMarkDataReport!$B$4:$CL$90,49,0),0)</f>
        <v>1300.95</v>
      </c>
      <c r="AF85" s="258">
        <f>IFERROR(VLOOKUP(A85,CFR20212022_BenchMarkDataReport!$B$4:$CL$90,50,0),0)</f>
        <v>0</v>
      </c>
      <c r="AG85" s="258">
        <f>IFERROR(VLOOKUP(A85,CFR20212022_BenchMarkDataReport!$B$4:$CL$90,51,0),0)</f>
        <v>85190.81</v>
      </c>
      <c r="AH85" s="258">
        <f>IFERROR(VLOOKUP(A85,CFR20212022_BenchMarkDataReport!$B$4:$CL$90,52,0),0)</f>
        <v>39291.82</v>
      </c>
      <c r="AI85" s="258">
        <f>IFERROR(VLOOKUP(A85,CFR20212022_BenchMarkDataReport!$B$4:$CL$90,53,0),0)</f>
        <v>103330.97</v>
      </c>
      <c r="AJ85" s="258">
        <f>IFERROR(VLOOKUP(A85,CFR20212022_BenchMarkDataReport!$B$4:$CL$90,54,0),0)</f>
        <v>12277.14</v>
      </c>
      <c r="AK85" s="258">
        <f>IFERROR(VLOOKUP(A85,CFR20212022_BenchMarkDataReport!$B$4:$CL$90,55,0),0)</f>
        <v>136547.49</v>
      </c>
      <c r="AL85" s="258">
        <f>IFERROR(VLOOKUP(A85,CFR20212022_BenchMarkDataReport!$B$4:$CL$90,56,0),0)</f>
        <v>25599.49</v>
      </c>
      <c r="AM85" s="258">
        <f>IFERROR(VLOOKUP(A85,CFR20212022_BenchMarkDataReport!$B$4:$CL$90,57,0),0)</f>
        <v>38137.06</v>
      </c>
      <c r="AN85" s="258">
        <f>IFERROR(VLOOKUP(A85,CFR20212022_BenchMarkDataReport!$B$4:$CL$90,58,0),0)</f>
        <v>155337.37</v>
      </c>
      <c r="AO85" s="258">
        <f>IFERROR(VLOOKUP(A85,CFR20212022_BenchMarkDataReport!$B$4:$CL$90,59,0),0)</f>
        <v>73213.72</v>
      </c>
      <c r="AP85" s="258">
        <f>IFERROR(VLOOKUP(A85,CFR20212022_BenchMarkDataReport!$B$4:$CL$90,60,0),0)</f>
        <v>112123.91</v>
      </c>
      <c r="AQ85" s="258">
        <f>IFERROR(VLOOKUP(A85,CFR20212022_BenchMarkDataReport!$B$4:$CL$90,61,0),0)</f>
        <v>30704.04</v>
      </c>
      <c r="AR85" s="258">
        <f>IFERROR(VLOOKUP(A85,CFR20212022_BenchMarkDataReport!$B$4:$CL$90,62,0),0)</f>
        <v>53772.3</v>
      </c>
      <c r="AS85" s="258">
        <f>IFERROR(VLOOKUP(A85,CFR20212022_BenchMarkDataReport!$B$4:$CL$90,63,0),0)</f>
        <v>0</v>
      </c>
      <c r="AT85" s="258">
        <f>IFERROR(VLOOKUP(A85,CFR20212022_BenchMarkDataReport!$B$4:$CL$90,64,0),0)</f>
        <v>233456.89</v>
      </c>
      <c r="AU85" s="258">
        <f>IFERROR(VLOOKUP(A85,CFR20212022_BenchMarkDataReport!$B$4:$CL$90,65,0),0)</f>
        <v>135312.65</v>
      </c>
      <c r="AV85" s="258">
        <f>IFERROR(VLOOKUP(A85,CFR20212022_BenchMarkDataReport!$B$4:$CL$90,66,0),0)</f>
        <v>108638.1</v>
      </c>
      <c r="AW85" s="258">
        <f>IFERROR(VLOOKUP(A85,CFR20212022_BenchMarkDataReport!$B$4:$CL$90,67,0),0)</f>
        <v>57542.53</v>
      </c>
      <c r="AX85" s="258">
        <f>IFERROR(VLOOKUP(A85,CFR20212022_BenchMarkDataReport!$B$4:$CL$90,68,0),0)</f>
        <v>0</v>
      </c>
      <c r="AY85" s="258">
        <f>IFERROR(VLOOKUP(A85,CFR20212022_BenchMarkDataReport!$B$4:$CL$90,69,0),0)</f>
        <v>0</v>
      </c>
      <c r="AZ85" s="258">
        <f>IFERROR(VLOOKUP(A85,CFR20212022_BenchMarkDataReport!$B$4:$CL$90,70,0),0)</f>
        <v>24999.5</v>
      </c>
      <c r="BA85" s="258">
        <f>IFERROR(VLOOKUP(A85,CFR20212022_BenchMarkDataReport!$B$4:$CL$90,71,0),0)</f>
        <v>0</v>
      </c>
      <c r="BB85" s="258">
        <f>IFERROR(VLOOKUP(A85,CFR20212022_BenchMarkDataReport!$B$4:$CL$90,72,0),0)</f>
        <v>0</v>
      </c>
      <c r="BC85" s="259">
        <f t="shared" ref="BC85:BC90" si="239">SUM(D85:R85)+U85</f>
        <v>7808839.29</v>
      </c>
      <c r="BD85" s="260">
        <f t="shared" ref="BD85:BD90" si="240">SUM(V85:AZ85)</f>
        <v>7583644.4299999997</v>
      </c>
      <c r="BE85" s="296">
        <f t="shared" ref="BE85:BE90" si="241">BC85-BD85</f>
        <v>225194.86000000034</v>
      </c>
      <c r="BF85" s="258">
        <f>IFERROR(VLOOKUP(A85,CFR20212022_BenchMarkDataReport!$B$4:$CL$90,16,0),0)</f>
        <v>602121.92000000004</v>
      </c>
      <c r="BG85" s="296">
        <f t="shared" ref="BG85:BG90" si="242">SUM(BE85:BF85)</f>
        <v>827316.78000000038</v>
      </c>
      <c r="BH85" s="261">
        <f>IFERROR(VLOOKUP(A85,'Pupil Nos BenchmarkData 21-22'!$A$6:$E$94,5,0),0)</f>
        <v>1199</v>
      </c>
      <c r="BI85" s="260">
        <f t="shared" si="153"/>
        <v>7130096.5899999999</v>
      </c>
      <c r="BJ85" s="227" t="s">
        <v>185</v>
      </c>
      <c r="BK85" s="262">
        <f t="shared" ref="BK85:BK90" si="243">IFERROR(D85/BC85,0)</f>
        <v>0.67524030706489291</v>
      </c>
      <c r="BL85" s="263">
        <f t="shared" ref="BL85:BL90" si="244">D85/BH85</f>
        <v>4397.7006171809844</v>
      </c>
      <c r="BM85" s="264">
        <f t="shared" ref="BM85:BM90" si="245">E85/BC85</f>
        <v>0.21662477189999899</v>
      </c>
      <c r="BN85" s="265">
        <f t="shared" ref="BN85:BN90" si="246">E85/BH85</f>
        <v>1410.8323853211009</v>
      </c>
      <c r="BO85" s="262">
        <f t="shared" ref="BO85:BO90" si="247">F85/BC85</f>
        <v>2.1215127350892118E-2</v>
      </c>
      <c r="BP85" s="263">
        <f t="shared" ref="BP85:BP90" si="248">F85/BH85</f>
        <v>138.16974145120932</v>
      </c>
      <c r="BQ85" s="264">
        <f t="shared" ref="BQ85:BQ90" si="249">G85/BC85</f>
        <v>0</v>
      </c>
      <c r="BR85" s="265">
        <f t="shared" ref="BR85:BR90" si="250">G85/BH85</f>
        <v>0</v>
      </c>
      <c r="BS85" s="262">
        <f t="shared" ref="BS85:BS90" si="251">H85/BC85</f>
        <v>1.5767389419535614E-2</v>
      </c>
      <c r="BT85" s="263">
        <f t="shared" ref="BT85:BT90" si="252">H85/BH85</f>
        <v>102.6897497914929</v>
      </c>
      <c r="BU85" s="264">
        <f t="shared" ref="BU85:BU90" si="253">I85/BC85</f>
        <v>1.7893465957089763E-3</v>
      </c>
      <c r="BV85" s="265">
        <f t="shared" ref="BV85:BV90" si="254">I85/BH85</f>
        <v>11.653644703919932</v>
      </c>
      <c r="BW85" s="262">
        <f t="shared" ref="BW85:BW90" si="255">J85/BC85</f>
        <v>4.187562169690907E-4</v>
      </c>
      <c r="BX85" s="263">
        <f t="shared" ref="BX85:BX90" si="256">J85/BH85</f>
        <v>2.7272727272727271</v>
      </c>
      <c r="BY85" s="264">
        <f t="shared" ref="BY85:BY90" si="257">IFERROR((K85+L85)/BC85,0)</f>
        <v>7.3313200430841496E-3</v>
      </c>
      <c r="BZ85" s="266">
        <f t="shared" ref="BZ85:BZ90" si="258">IFERROR((K85+L85)/BH85,0)</f>
        <v>47.747372810675564</v>
      </c>
      <c r="CA85" s="267">
        <f t="shared" ref="CA85:CA90" si="259">P85/BC85</f>
        <v>3.1079983975441758E-3</v>
      </c>
      <c r="CB85" s="268">
        <f t="shared" ref="CB85:CB90" si="260">P85/BH85</f>
        <v>20.241751459549626</v>
      </c>
      <c r="CC85" s="264">
        <f t="shared" ref="CC85:CC90" si="261">Q85/BC85</f>
        <v>1.2806000518932436E-4</v>
      </c>
      <c r="CD85" s="265">
        <f t="shared" ref="CD85:CD90" si="262">Q85/BH85</f>
        <v>0.8340283569641368</v>
      </c>
      <c r="CE85" s="269">
        <f t="shared" ref="CE85:CE90" si="263">(V85+W85+AU85)/BI85</f>
        <v>0.66683867041414102</v>
      </c>
      <c r="CF85" s="267">
        <f t="shared" ref="CF85:CF90" si="264">(V85+W85+AU85)/BC85</f>
        <v>0.60887719076108693</v>
      </c>
      <c r="CG85" s="267">
        <f t="shared" ref="CG85:CG90" si="265">(V85+W85+AU85)/BD85</f>
        <v>0.62695768161166288</v>
      </c>
      <c r="CH85" s="268">
        <f t="shared" ref="CH85:CH90" si="266">(V85+W85+AU85)/BH85</f>
        <v>3965.4913511259388</v>
      </c>
      <c r="CI85" s="264">
        <f t="shared" ref="CI85:CI90" si="267">X85/BI85</f>
        <v>9.1908369224490416E-2</v>
      </c>
      <c r="CJ85" s="270">
        <f t="shared" ref="CJ85:CJ90" si="268">X85/BC85</f>
        <v>8.3919712733644958E-2</v>
      </c>
      <c r="CK85" s="270">
        <f t="shared" ref="CK85:CK90" si="269">X85/BD85</f>
        <v>8.6411692432156934E-2</v>
      </c>
      <c r="CL85" s="271">
        <f t="shared" ref="CL85:CM90" si="270">X85/BH85</f>
        <v>546.55175145954968</v>
      </c>
      <c r="CM85" s="269">
        <f t="shared" si="270"/>
        <v>1.426923726989791E-2</v>
      </c>
      <c r="CN85" s="267">
        <f t="shared" ref="CN85:CN90" si="271">Y85/BC85</f>
        <v>1.3028958110367257E-2</v>
      </c>
      <c r="CO85" s="267">
        <f t="shared" ref="CO85:CO90" si="272">Y85/BD85</f>
        <v>1.3415850510807769E-2</v>
      </c>
      <c r="CP85" s="268">
        <f t="shared" ref="CP85:CQ90" si="273">Y85/BH85</f>
        <v>84.854912427022512</v>
      </c>
      <c r="CQ85" s="264">
        <f t="shared" si="273"/>
        <v>8.1503274558023905E-2</v>
      </c>
      <c r="CR85" s="270">
        <f t="shared" ref="CR85:CR90" si="274">Z85/BC85</f>
        <v>7.4419026748852452E-2</v>
      </c>
      <c r="CS85" s="270">
        <f t="shared" ref="CS85:CS90" si="275">Z85/BD85</f>
        <v>7.6628885407803854E-2</v>
      </c>
      <c r="CT85" s="265">
        <f t="shared" ref="CT85:CT90" si="276">Z85/BH85</f>
        <v>484.67574645537945</v>
      </c>
      <c r="CU85" s="269">
        <f t="shared" ref="CU85:CU90" si="277">(V85+W85+X85+Y85+Z85+AA85+AB85)/BI85</f>
        <v>0.85836546710792883</v>
      </c>
      <c r="CV85" s="267">
        <f t="shared" ref="CV85:CV90" si="278">(V85+W85+X85+Y85+Z85+AA85+AB85)/BC85</f>
        <v>0.78375651780125188</v>
      </c>
      <c r="CW85" s="267">
        <f t="shared" ref="CW85:CW90" si="279">(V85+W85+X85+Y85+Z85+AA85+AB85)/BD85</f>
        <v>0.80703001656948736</v>
      </c>
      <c r="CX85" s="268">
        <f t="shared" ref="CX85:CX90" si="280">(V85+W85+X85+Y85+Z85+AA85+AB85)/BH85</f>
        <v>5104.4442785654719</v>
      </c>
      <c r="CY85" s="264">
        <f t="shared" ref="CY85:CY90" si="281">AG85/BI85</f>
        <v>1.1948058336191487E-2</v>
      </c>
      <c r="CZ85" s="270">
        <f t="shared" ref="CZ85:CZ90" si="282">AG85/BD85</f>
        <v>1.123349212721462E-2</v>
      </c>
      <c r="DA85" s="265">
        <f t="shared" ref="DA85:DA90" si="283">AG85/BH85</f>
        <v>71.051551292743952</v>
      </c>
      <c r="DB85" s="269">
        <f t="shared" ref="DB85:DB90" si="284">AJ85/BD85</f>
        <v>1.6188971032757135E-3</v>
      </c>
      <c r="DC85" s="268">
        <f t="shared" ref="DC85:DD90" si="285">AJ85/BH85</f>
        <v>10.239482902418681</v>
      </c>
      <c r="DD85" s="264">
        <f t="shared" si="285"/>
        <v>1.915086118068984E-2</v>
      </c>
      <c r="DE85" s="270">
        <f t="shared" ref="DE85:DE90" si="286">AK85/BD85</f>
        <v>1.8005523763724243E-2</v>
      </c>
      <c r="DF85" s="265">
        <f t="shared" ref="DF85:DF90" si="287">AK85/BH85</f>
        <v>113.88447873227689</v>
      </c>
      <c r="DG85" s="269">
        <f t="shared" ref="DG85:DG90" si="288">AM85/BI85</f>
        <v>5.3487438099348384E-3</v>
      </c>
      <c r="DH85" s="267">
        <f t="shared" ref="DH85:DH90" si="289">AM85/BD85</f>
        <v>5.0288565546578508E-3</v>
      </c>
      <c r="DI85" s="272">
        <f t="shared" ref="DI85:DJ90" si="290">AM85/BH85</f>
        <v>31.807389491242699</v>
      </c>
      <c r="DJ85" s="264">
        <f t="shared" si="290"/>
        <v>2.1786152268660923E-2</v>
      </c>
      <c r="DK85" s="270">
        <f t="shared" ref="DK85:DK90" si="291">AN85/BC85</f>
        <v>1.9892504408296E-2</v>
      </c>
      <c r="DL85" s="270">
        <f t="shared" ref="DL85:DL90" si="292">AN85/BD85</f>
        <v>2.0483208493465719E-2</v>
      </c>
      <c r="DM85" s="265">
        <f t="shared" ref="DM85:DM90" si="293">AN85/BH85</f>
        <v>129.55577147623018</v>
      </c>
      <c r="DN85" s="269">
        <f t="shared" ref="DN85:DN90" si="294">AQ85/BI85</f>
        <v>4.3062586337277095E-3</v>
      </c>
      <c r="DO85" s="267">
        <f t="shared" ref="DO85:DO90" si="295">IFERROR(AQ85/BD85,0)</f>
        <v>4.0487183020525659E-3</v>
      </c>
      <c r="DP85" s="268">
        <f t="shared" ref="DP85:DP90" si="296">AQ85/BH85</f>
        <v>25.608040033361135</v>
      </c>
      <c r="DQ85" s="264">
        <f t="shared" ref="DQ85:DQ90" si="297">IFERROR(AV85/BI85,0)</f>
        <v>1.5236553758944241E-2</v>
      </c>
      <c r="DR85" s="270">
        <f t="shared" ref="DR85:DR90" si="298">IFERROR(AV85/BD85,0)</f>
        <v>1.432531561873346E-2</v>
      </c>
      <c r="DS85" s="265">
        <f t="shared" ref="DS85:DS90" si="299">AV85/BH85</f>
        <v>90.607256046705587</v>
      </c>
      <c r="DT85" s="269">
        <f t="shared" ref="DT85:DT90" si="300">AT85/BD85</f>
        <v>3.0784261070636722E-2</v>
      </c>
      <c r="DU85" s="268">
        <f t="shared" ref="DU85:DU90" si="301">AT85/BH85</f>
        <v>194.70966638865724</v>
      </c>
      <c r="DV85" s="264">
        <f t="shared" si="157"/>
        <v>1.3625503008980078E-2</v>
      </c>
      <c r="DW85" s="265">
        <f t="shared" si="158"/>
        <v>86.180959132610511</v>
      </c>
      <c r="DX85" s="264">
        <f t="shared" ref="DX85:DX90" si="302">EB85/BI85</f>
        <v>1.6269064315719179E-5</v>
      </c>
      <c r="DY85" s="270">
        <f t="shared" ref="DY85:DY90" si="303">EB85/BC85</f>
        <v>1.4854960601961626E-5</v>
      </c>
      <c r="DZ85" s="270">
        <f t="shared" ref="DZ85:DZ90" si="304">EB85/BD85</f>
        <v>1.5296075794524032E-5</v>
      </c>
      <c r="EA85" s="265">
        <f t="shared" ref="EA85:EA90" si="305">EB85/BH85</f>
        <v>9.6747289407839873E-2</v>
      </c>
      <c r="EB85" s="273">
        <f>IFERROR(VLOOKUP(A85,'BARNET SCHS PUPIL PREMIUM Nos'!$E$31:$V$117,17,0),0)</f>
        <v>116</v>
      </c>
      <c r="EC85" s="258">
        <f>IFERROR(VLOOKUP(A85,CFR20212022_BenchMarkDataReport!$B$4:$CL$90,36,0),0)</f>
        <v>0</v>
      </c>
      <c r="ED85" s="258">
        <f>IFERROR(VLOOKUP(A85,CFR20212022_BenchMarkDataReport!$B$4:$CL$90,37,0),0)</f>
        <v>43180</v>
      </c>
      <c r="EE85" s="258">
        <f>IFERROR(VLOOKUP(A85,CFR20212022_BenchMarkDataReport!$B$4:$CL$90,38,0),0)</f>
        <v>48095.62</v>
      </c>
      <c r="EF85" s="258">
        <f>IFERROR(VLOOKUP(A85,CFR20212022_BenchMarkDataReport!$B$4:$CL$90,39,0),0)</f>
        <v>0</v>
      </c>
      <c r="EG85" s="227"/>
    </row>
    <row r="86" spans="1:230" s="5" customFormat="1">
      <c r="A86" s="293">
        <v>4003</v>
      </c>
      <c r="B86" s="294">
        <v>10139</v>
      </c>
      <c r="C86" s="293" t="s">
        <v>113</v>
      </c>
      <c r="D86" s="258">
        <f>IFERROR(VLOOKUP(A86,CFR20212022_BenchMarkDataReport!$B$4:$CL$90,19,0),0)</f>
        <v>5132965</v>
      </c>
      <c r="E86" s="258">
        <f>IFERROR(VLOOKUP(A86,CFR20212022_BenchMarkDataReport!$B$4:$CL$90,20,0),0)</f>
        <v>0</v>
      </c>
      <c r="F86" s="258">
        <f>IFERROR(VLOOKUP(A86,CFR20212022_BenchMarkDataReport!$B$4:$CL$90,21,0),0)</f>
        <v>255950.44</v>
      </c>
      <c r="G86" s="258">
        <f>IFERROR(VLOOKUP(A86,CFR20212022_BenchMarkDataReport!$B$4:$CL$90,22,0),0)</f>
        <v>0</v>
      </c>
      <c r="H86" s="258">
        <f>IFERROR(VLOOKUP(A86,CFR20212022_BenchMarkDataReport!$B$4:$CL$90,23,0),0)</f>
        <v>319141.56</v>
      </c>
      <c r="I86" s="258">
        <f>IFERROR(VLOOKUP(A86,CFR20212022_BenchMarkDataReport!$B$4:$CL$90,24,0),0)</f>
        <v>95900</v>
      </c>
      <c r="J86" s="258">
        <f>IFERROR(VLOOKUP(A86,CFR20212022_BenchMarkDataReport!$B$4:$CL$90,25,0),0)</f>
        <v>2000</v>
      </c>
      <c r="K86" s="258">
        <f>IFERROR(VLOOKUP(A86,CFR20212022_BenchMarkDataReport!$B$4:$CL$90,26,0),0)</f>
        <v>16360.64</v>
      </c>
      <c r="L86" s="258">
        <f>IFERROR(VLOOKUP(A86,CFR20212022_BenchMarkDataReport!$B$4:$CL$90,27,0),0)</f>
        <v>537.83000000000004</v>
      </c>
      <c r="M86" s="258">
        <f>IFERROR(VLOOKUP(A86,CFR20212022_BenchMarkDataReport!$B$4:$CL$90,28,0),0)</f>
        <v>118173.96</v>
      </c>
      <c r="N86" s="258">
        <f>IFERROR(VLOOKUP(A86,CFR20212022_BenchMarkDataReport!$B$4:$CL$90,29,0),0)</f>
        <v>0</v>
      </c>
      <c r="O86" s="258">
        <f>IFERROR(VLOOKUP(A86,CFR20212022_BenchMarkDataReport!$B$4:$CL$90,30,0),0)</f>
        <v>18357.009999999998</v>
      </c>
      <c r="P86" s="258">
        <f>IFERROR(VLOOKUP(A86,CFR20212022_BenchMarkDataReport!$B$4:$CL$90,31,0),0)</f>
        <v>24855.95</v>
      </c>
      <c r="Q86" s="258">
        <f>IFERROR(VLOOKUP(A86,CFR20212022_BenchMarkDataReport!$B$4:$CL$90,32,0),0)</f>
        <v>6893.06</v>
      </c>
      <c r="R86" s="258">
        <f>IFERROR(VLOOKUP(A86,CFR20212022_BenchMarkDataReport!$B$4:$CL$90,33,0),0)</f>
        <v>0</v>
      </c>
      <c r="S86" s="258">
        <f>IFERROR(VLOOKUP(A86,CFR20212022_BenchMarkDataReport!$B$4:$CL$90,34,0),0)</f>
        <v>0</v>
      </c>
      <c r="T86" s="258">
        <f>IFERROR(VLOOKUP(A86,CFR20212022_BenchMarkDataReport!$B$4:$CL$90,35,0),0)</f>
        <v>0</v>
      </c>
      <c r="U86" s="258">
        <f t="shared" si="152"/>
        <v>115304</v>
      </c>
      <c r="V86" s="258">
        <f>IFERROR(VLOOKUP(A86,CFR20212022_BenchMarkDataReport!$B$4:$CL$90,40,0),0)</f>
        <v>3530873.74</v>
      </c>
      <c r="W86" s="258">
        <f>IFERROR(VLOOKUP(A86,CFR20212022_BenchMarkDataReport!$B$4:$CL$90,41,0),0)</f>
        <v>0</v>
      </c>
      <c r="X86" s="258">
        <f>IFERROR(VLOOKUP(A86,CFR20212022_BenchMarkDataReport!$B$4:$CL$90,42,0),0)</f>
        <v>845483.94</v>
      </c>
      <c r="Y86" s="258">
        <f>IFERROR(VLOOKUP(A86,CFR20212022_BenchMarkDataReport!$B$4:$CL$90,43,0),0)</f>
        <v>92619.29</v>
      </c>
      <c r="Z86" s="258">
        <f>IFERROR(VLOOKUP(A86,CFR20212022_BenchMarkDataReport!$B$4:$CL$90,44,0),0)</f>
        <v>441487.87</v>
      </c>
      <c r="AA86" s="258">
        <f>IFERROR(VLOOKUP(A86,CFR20212022_BenchMarkDataReport!$B$4:$CL$90,45,0),0)</f>
        <v>0</v>
      </c>
      <c r="AB86" s="258">
        <f>IFERROR(VLOOKUP(A86,CFR20212022_BenchMarkDataReport!$B$4:$CL$90,46,0),0)</f>
        <v>44655.66</v>
      </c>
      <c r="AC86" s="258">
        <f>IFERROR(VLOOKUP(A86,CFR20212022_BenchMarkDataReport!$B$4:$CL$90,47,0),0)</f>
        <v>41369.06</v>
      </c>
      <c r="AD86" s="258">
        <f>IFERROR(VLOOKUP(A86,CFR20212022_BenchMarkDataReport!$B$4:$CL$90,48,0),0)</f>
        <v>8089.73</v>
      </c>
      <c r="AE86" s="258">
        <f>IFERROR(VLOOKUP(A86,CFR20212022_BenchMarkDataReport!$B$4:$CL$90,49,0),0)</f>
        <v>1117.2</v>
      </c>
      <c r="AF86" s="258">
        <f>IFERROR(VLOOKUP(A86,CFR20212022_BenchMarkDataReport!$B$4:$CL$90,50,0),0)</f>
        <v>0</v>
      </c>
      <c r="AG86" s="258">
        <f>IFERROR(VLOOKUP(A86,CFR20212022_BenchMarkDataReport!$B$4:$CL$90,51,0),0)</f>
        <v>75829.52</v>
      </c>
      <c r="AH86" s="258">
        <f>IFERROR(VLOOKUP(A86,CFR20212022_BenchMarkDataReport!$B$4:$CL$90,52,0),0)</f>
        <v>11535.32</v>
      </c>
      <c r="AI86" s="258">
        <f>IFERROR(VLOOKUP(A86,CFR20212022_BenchMarkDataReport!$B$4:$CL$90,53,0),0)</f>
        <v>79793.600000000006</v>
      </c>
      <c r="AJ86" s="258">
        <f>IFERROR(VLOOKUP(A86,CFR20212022_BenchMarkDataReport!$B$4:$CL$90,54,0),0)</f>
        <v>4154.6899999999996</v>
      </c>
      <c r="AK86" s="258">
        <f>IFERROR(VLOOKUP(A86,CFR20212022_BenchMarkDataReport!$B$4:$CL$90,55,0),0)</f>
        <v>74679.039999999994</v>
      </c>
      <c r="AL86" s="258">
        <f>IFERROR(VLOOKUP(A86,CFR20212022_BenchMarkDataReport!$B$4:$CL$90,56,0),0)</f>
        <v>60648</v>
      </c>
      <c r="AM86" s="258">
        <f>IFERROR(VLOOKUP(A86,CFR20212022_BenchMarkDataReport!$B$4:$CL$90,57,0),0)</f>
        <v>38950.85</v>
      </c>
      <c r="AN86" s="258">
        <f>IFERROR(VLOOKUP(A86,CFR20212022_BenchMarkDataReport!$B$4:$CL$90,58,0),0)</f>
        <v>117001.7</v>
      </c>
      <c r="AO86" s="258">
        <f>IFERROR(VLOOKUP(A86,CFR20212022_BenchMarkDataReport!$B$4:$CL$90,59,0),0)</f>
        <v>93125.54</v>
      </c>
      <c r="AP86" s="258">
        <f>IFERROR(VLOOKUP(A86,CFR20212022_BenchMarkDataReport!$B$4:$CL$90,60,0),0)</f>
        <v>41858.36</v>
      </c>
      <c r="AQ86" s="258">
        <f>IFERROR(VLOOKUP(A86,CFR20212022_BenchMarkDataReport!$B$4:$CL$90,61,0),0)</f>
        <v>21662.09</v>
      </c>
      <c r="AR86" s="258">
        <f>IFERROR(VLOOKUP(A86,CFR20212022_BenchMarkDataReport!$B$4:$CL$90,62,0),0)</f>
        <v>14309.9</v>
      </c>
      <c r="AS86" s="258">
        <f>IFERROR(VLOOKUP(A86,CFR20212022_BenchMarkDataReport!$B$4:$CL$90,63,0),0)</f>
        <v>0</v>
      </c>
      <c r="AT86" s="258">
        <f>IFERROR(VLOOKUP(A86,CFR20212022_BenchMarkDataReport!$B$4:$CL$90,64,0),0)</f>
        <v>177899.38</v>
      </c>
      <c r="AU86" s="258">
        <f>IFERROR(VLOOKUP(A86,CFR20212022_BenchMarkDataReport!$B$4:$CL$90,65,0),0)</f>
        <v>135266.71</v>
      </c>
      <c r="AV86" s="258">
        <f>IFERROR(VLOOKUP(A86,CFR20212022_BenchMarkDataReport!$B$4:$CL$90,66,0),0)</f>
        <v>82895.98</v>
      </c>
      <c r="AW86" s="258">
        <f>IFERROR(VLOOKUP(A86,CFR20212022_BenchMarkDataReport!$B$4:$CL$90,67,0),0)</f>
        <v>12337.5</v>
      </c>
      <c r="AX86" s="258">
        <f>IFERROR(VLOOKUP(A86,CFR20212022_BenchMarkDataReport!$B$4:$CL$90,68,0),0)</f>
        <v>0</v>
      </c>
      <c r="AY86" s="258">
        <f>IFERROR(VLOOKUP(A86,CFR20212022_BenchMarkDataReport!$B$4:$CL$90,69,0),0)</f>
        <v>0</v>
      </c>
      <c r="AZ86" s="258">
        <f>IFERROR(VLOOKUP(A86,CFR20212022_BenchMarkDataReport!$B$4:$CL$90,70,0),0)</f>
        <v>132000</v>
      </c>
      <c r="BA86" s="258">
        <f>IFERROR(VLOOKUP(A86,CFR20212022_BenchMarkDataReport!$B$4:$CL$90,71,0),0)</f>
        <v>0</v>
      </c>
      <c r="BB86" s="258">
        <f>IFERROR(VLOOKUP(A86,CFR20212022_BenchMarkDataReport!$B$4:$CL$90,72,0),0)</f>
        <v>0</v>
      </c>
      <c r="BC86" s="259">
        <f t="shared" si="239"/>
        <v>6106439.4499999993</v>
      </c>
      <c r="BD86" s="260">
        <f>SUM(V86:AZ86)</f>
        <v>6179644.6700000009</v>
      </c>
      <c r="BE86" s="296">
        <f>BC86-BD86</f>
        <v>-73205.220000001602</v>
      </c>
      <c r="BF86" s="258">
        <f>IFERROR(VLOOKUP(A86,CFR20212022_BenchMarkDataReport!$B$4:$CL$90,16,0),0)</f>
        <v>246879.14</v>
      </c>
      <c r="BG86" s="296">
        <f>SUM(BE86:BF86)</f>
        <v>173673.91999999841</v>
      </c>
      <c r="BH86" s="261">
        <f>IFERROR(VLOOKUP(A86,'Pupil Nos BenchmarkData 21-22'!$A$6:$E$94,5,0),0)</f>
        <v>726</v>
      </c>
      <c r="BI86" s="260">
        <f t="shared" si="153"/>
        <v>5388915.4400000004</v>
      </c>
      <c r="BJ86" s="227" t="s">
        <v>185</v>
      </c>
      <c r="BK86" s="262">
        <f t="shared" si="243"/>
        <v>0.84058231347892931</v>
      </c>
      <c r="BL86" s="263">
        <f t="shared" si="244"/>
        <v>7070.1997245179064</v>
      </c>
      <c r="BM86" s="264">
        <f t="shared" si="245"/>
        <v>0</v>
      </c>
      <c r="BN86" s="265">
        <f t="shared" si="246"/>
        <v>0</v>
      </c>
      <c r="BO86" s="262">
        <f t="shared" si="247"/>
        <v>4.1914841225519729E-2</v>
      </c>
      <c r="BP86" s="263">
        <f t="shared" si="248"/>
        <v>352.54881542699724</v>
      </c>
      <c r="BQ86" s="264">
        <f t="shared" si="249"/>
        <v>0</v>
      </c>
      <c r="BR86" s="265">
        <f t="shared" si="250"/>
        <v>0</v>
      </c>
      <c r="BS86" s="262">
        <f t="shared" si="251"/>
        <v>5.2263117093546231E-2</v>
      </c>
      <c r="BT86" s="263">
        <f t="shared" si="252"/>
        <v>439.5889256198347</v>
      </c>
      <c r="BU86" s="264">
        <f t="shared" si="253"/>
        <v>1.5704732812834164E-2</v>
      </c>
      <c r="BV86" s="265">
        <f t="shared" si="254"/>
        <v>132.09366391184574</v>
      </c>
      <c r="BW86" s="262">
        <f t="shared" si="255"/>
        <v>3.2752310350019114E-4</v>
      </c>
      <c r="BX86" s="263">
        <f t="shared" si="256"/>
        <v>2.7548209366391183</v>
      </c>
      <c r="BY86" s="264">
        <f t="shared" si="257"/>
        <v>2.7673196694024378E-3</v>
      </c>
      <c r="BZ86" s="266">
        <f t="shared" si="258"/>
        <v>23.276129476584025</v>
      </c>
      <c r="CA86" s="267">
        <f t="shared" si="259"/>
        <v>4.0704489422227885E-3</v>
      </c>
      <c r="CB86" s="268">
        <f t="shared" si="260"/>
        <v>34.236845730027547</v>
      </c>
      <c r="CC86" s="264">
        <f t="shared" si="261"/>
        <v>1.1288182019065138E-3</v>
      </c>
      <c r="CD86" s="265">
        <f t="shared" si="262"/>
        <v>9.4945730027548212</v>
      </c>
      <c r="CE86" s="269">
        <f t="shared" si="263"/>
        <v>0.68031137077927506</v>
      </c>
      <c r="CF86" s="267">
        <f t="shared" si="264"/>
        <v>0.60037284902579369</v>
      </c>
      <c r="CG86" s="267">
        <f t="shared" si="265"/>
        <v>0.59326072060385948</v>
      </c>
      <c r="CH86" s="268">
        <f t="shared" si="266"/>
        <v>5049.7802341597799</v>
      </c>
      <c r="CI86" s="264">
        <f t="shared" si="267"/>
        <v>0.15689315399612205</v>
      </c>
      <c r="CJ86" s="270">
        <f t="shared" si="268"/>
        <v>0.13845776199418469</v>
      </c>
      <c r="CK86" s="270">
        <f t="shared" si="269"/>
        <v>0.13681756559637268</v>
      </c>
      <c r="CL86" s="271">
        <f t="shared" si="270"/>
        <v>1164.5784297520661</v>
      </c>
      <c r="CM86" s="269">
        <f t="shared" si="270"/>
        <v>1.718700006174155E-2</v>
      </c>
      <c r="CN86" s="267">
        <f t="shared" si="271"/>
        <v>1.5167478652392107E-2</v>
      </c>
      <c r="CO86" s="267">
        <f t="shared" si="272"/>
        <v>1.4987801879553696E-2</v>
      </c>
      <c r="CP86" s="268">
        <f t="shared" si="273"/>
        <v>127.57477961432507</v>
      </c>
      <c r="CQ86" s="264">
        <f t="shared" si="273"/>
        <v>8.1925180477502538E-2</v>
      </c>
      <c r="CR86" s="270">
        <f t="shared" si="274"/>
        <v>7.2298738670044466E-2</v>
      </c>
      <c r="CS86" s="270">
        <f t="shared" si="275"/>
        <v>7.1442274366237943E-2</v>
      </c>
      <c r="CT86" s="265">
        <f t="shared" si="276"/>
        <v>608.11001377410469</v>
      </c>
      <c r="CU86" s="269">
        <f t="shared" si="277"/>
        <v>0.91950236650957717</v>
      </c>
      <c r="CV86" s="267">
        <f t="shared" si="278"/>
        <v>0.81145822218870944</v>
      </c>
      <c r="CW86" s="267">
        <f t="shared" si="279"/>
        <v>0.80184553718037632</v>
      </c>
      <c r="CX86" s="268">
        <f t="shared" si="280"/>
        <v>6825.234848484848</v>
      </c>
      <c r="CY86" s="264">
        <f t="shared" si="281"/>
        <v>1.4071387989713937E-2</v>
      </c>
      <c r="CZ86" s="270">
        <f t="shared" si="282"/>
        <v>1.2270854401730511E-2</v>
      </c>
      <c r="DA86" s="265">
        <f t="shared" si="283"/>
        <v>104.44837465564738</v>
      </c>
      <c r="DB86" s="269">
        <f t="shared" si="284"/>
        <v>6.7231859141829897E-4</v>
      </c>
      <c r="DC86" s="268">
        <f t="shared" si="285"/>
        <v>5.7227134986225892</v>
      </c>
      <c r="DD86" s="264">
        <f t="shared" si="285"/>
        <v>1.3857897907561152E-2</v>
      </c>
      <c r="DE86" s="270">
        <f t="shared" si="286"/>
        <v>1.2084681885115569E-2</v>
      </c>
      <c r="DF86" s="265">
        <f t="shared" si="287"/>
        <v>102.86369146005509</v>
      </c>
      <c r="DG86" s="269">
        <f t="shared" si="288"/>
        <v>7.2279571712856559E-3</v>
      </c>
      <c r="DH86" s="267">
        <f t="shared" si="289"/>
        <v>6.3030889444327864E-3</v>
      </c>
      <c r="DI86" s="272">
        <f t="shared" si="290"/>
        <v>53.6513085399449</v>
      </c>
      <c r="DJ86" s="264">
        <f t="shared" si="290"/>
        <v>2.1711548697078829E-2</v>
      </c>
      <c r="DK86" s="270">
        <f t="shared" si="291"/>
        <v>1.9160379949399155E-2</v>
      </c>
      <c r="DL86" s="270">
        <f t="shared" si="292"/>
        <v>1.8933402525229657E-2</v>
      </c>
      <c r="DM86" s="265">
        <f t="shared" si="293"/>
        <v>161.15936639118456</v>
      </c>
      <c r="DN86" s="269">
        <f t="shared" si="294"/>
        <v>4.0197494730034207E-3</v>
      </c>
      <c r="DO86" s="267">
        <f t="shared" si="295"/>
        <v>3.5053941054510496E-3</v>
      </c>
      <c r="DP86" s="268">
        <f t="shared" si="296"/>
        <v>29.83758953168044</v>
      </c>
      <c r="DQ86" s="264">
        <f t="shared" si="297"/>
        <v>1.5382683384618109E-2</v>
      </c>
      <c r="DR86" s="270">
        <f t="shared" si="298"/>
        <v>1.3414360279067629E-2</v>
      </c>
      <c r="DS86" s="265">
        <f t="shared" si="299"/>
        <v>114.18179063360881</v>
      </c>
      <c r="DT86" s="269">
        <f t="shared" si="300"/>
        <v>2.8787962658053601E-2</v>
      </c>
      <c r="DU86" s="268">
        <f t="shared" si="301"/>
        <v>245.04046831955924</v>
      </c>
      <c r="DV86" s="264">
        <f t="shared" si="157"/>
        <v>1.2912328177600541E-2</v>
      </c>
      <c r="DW86" s="265">
        <f t="shared" si="158"/>
        <v>109.90853994490359</v>
      </c>
      <c r="DX86" s="264">
        <f t="shared" si="302"/>
        <v>5.7061574527137129E-5</v>
      </c>
      <c r="DY86" s="270">
        <f t="shared" si="303"/>
        <v>5.0356677163154384E-5</v>
      </c>
      <c r="DZ86" s="270">
        <f t="shared" si="304"/>
        <v>4.9760142600561525E-5</v>
      </c>
      <c r="EA86" s="265">
        <f t="shared" si="305"/>
        <v>0.42355371900826444</v>
      </c>
      <c r="EB86" s="273">
        <f>IFERROR(VLOOKUP(A86,'BARNET SCHS PUPIL PREMIUM Nos'!$E$31:$V$117,17,0),0)</f>
        <v>307.5</v>
      </c>
      <c r="EC86" s="258">
        <f>IFERROR(VLOOKUP(A86,CFR20212022_BenchMarkDataReport!$B$4:$CL$90,36,0),0)</f>
        <v>22207.5</v>
      </c>
      <c r="ED86" s="258">
        <f>IFERROR(VLOOKUP(A86,CFR20212022_BenchMarkDataReport!$B$4:$CL$90,37,0),0)</f>
        <v>45130</v>
      </c>
      <c r="EE86" s="258">
        <f>IFERROR(VLOOKUP(A86,CFR20212022_BenchMarkDataReport!$B$4:$CL$90,38,0),0)</f>
        <v>47966.5</v>
      </c>
      <c r="EF86" s="258">
        <f>IFERROR(VLOOKUP(A86,CFR20212022_BenchMarkDataReport!$B$4:$CL$90,39,0),0)</f>
        <v>0</v>
      </c>
      <c r="EG86" s="227"/>
    </row>
    <row r="87" spans="1:230" s="5" customFormat="1">
      <c r="A87" s="293">
        <v>4004</v>
      </c>
      <c r="B87" s="294">
        <v>11513</v>
      </c>
      <c r="C87" s="301" t="s">
        <v>355</v>
      </c>
      <c r="D87" s="258">
        <f>IFERROR(VLOOKUP(A87,CFR20212022_BenchMarkDataReport!$B$4:$CL$90,19,0),0)</f>
        <v>1657727.7</v>
      </c>
      <c r="E87" s="258">
        <f>IFERROR(VLOOKUP(A87,CFR20212022_BenchMarkDataReport!$B$4:$CL$90,20,0),0)</f>
        <v>390291</v>
      </c>
      <c r="F87" s="258">
        <f>IFERROR(VLOOKUP(A87,CFR20212022_BenchMarkDataReport!$B$4:$CL$90,21,0),0)</f>
        <v>90722.4</v>
      </c>
      <c r="G87" s="258">
        <f>IFERROR(VLOOKUP(A87,CFR20212022_BenchMarkDataReport!$B$4:$CL$90,22,0),0)</f>
        <v>0</v>
      </c>
      <c r="H87" s="258">
        <f>IFERROR(VLOOKUP(A87,CFR20212022_BenchMarkDataReport!$B$4:$CL$90,23,0),0)</f>
        <v>15279.96</v>
      </c>
      <c r="I87" s="258">
        <f>IFERROR(VLOOKUP(A87,CFR20212022_BenchMarkDataReport!$B$4:$CL$90,24,0),0)</f>
        <v>128368.31</v>
      </c>
      <c r="J87" s="258">
        <f>IFERROR(VLOOKUP(A87,CFR20212022_BenchMarkDataReport!$B$4:$CL$90,25,0),0)</f>
        <v>1400</v>
      </c>
      <c r="K87" s="258">
        <f>IFERROR(VLOOKUP(A87,CFR20212022_BenchMarkDataReport!$B$4:$CL$90,26,0),0)</f>
        <v>0</v>
      </c>
      <c r="L87" s="258">
        <f>IFERROR(VLOOKUP(A87,CFR20212022_BenchMarkDataReport!$B$4:$CL$90,27,0),0)</f>
        <v>0</v>
      </c>
      <c r="M87" s="258">
        <f>IFERROR(VLOOKUP(A87,CFR20212022_BenchMarkDataReport!$B$4:$CL$90,28,0),0)</f>
        <v>0</v>
      </c>
      <c r="N87" s="258">
        <f>IFERROR(VLOOKUP(A87,CFR20212022_BenchMarkDataReport!$B$4:$CL$90,29,0),0)</f>
        <v>0</v>
      </c>
      <c r="O87" s="258">
        <f>IFERROR(VLOOKUP(A87,CFR20212022_BenchMarkDataReport!$B$4:$CL$90,30,0),0)</f>
        <v>0</v>
      </c>
      <c r="P87" s="258">
        <f>IFERROR(VLOOKUP(A87,CFR20212022_BenchMarkDataReport!$B$4:$CL$90,31,0),0)</f>
        <v>0</v>
      </c>
      <c r="Q87" s="258">
        <f>IFERROR(VLOOKUP(A87,CFR20212022_BenchMarkDataReport!$B$4:$CL$90,32,0),0)</f>
        <v>522000</v>
      </c>
      <c r="R87" s="258">
        <f>IFERROR(VLOOKUP(A87,CFR20212022_BenchMarkDataReport!$B$4:$CL$90,33,0),0)</f>
        <v>0</v>
      </c>
      <c r="S87" s="258">
        <f>IFERROR(VLOOKUP(A87,CFR20212022_BenchMarkDataReport!$B$4:$CL$90,34,0),0)</f>
        <v>0</v>
      </c>
      <c r="T87" s="258">
        <f>IFERROR(VLOOKUP(A87,CFR20212022_BenchMarkDataReport!$B$4:$CL$90,35,0),0)</f>
        <v>0</v>
      </c>
      <c r="U87" s="258">
        <f t="shared" si="152"/>
        <v>51661.26</v>
      </c>
      <c r="V87" s="258">
        <f>IFERROR(VLOOKUP(A87,CFR20212022_BenchMarkDataReport!$B$4:$CL$90,40,0),0)</f>
        <v>1844675.95</v>
      </c>
      <c r="W87" s="258">
        <f>IFERROR(VLOOKUP(A87,CFR20212022_BenchMarkDataReport!$B$4:$CL$90,41,0),0)</f>
        <v>0</v>
      </c>
      <c r="X87" s="258">
        <f>IFERROR(VLOOKUP(A87,CFR20212022_BenchMarkDataReport!$B$4:$CL$90,42,0),0)</f>
        <v>151903.54999999999</v>
      </c>
      <c r="Y87" s="258">
        <f>IFERROR(VLOOKUP(A87,CFR20212022_BenchMarkDataReport!$B$4:$CL$90,43,0),0)</f>
        <v>45920.18</v>
      </c>
      <c r="Z87" s="258">
        <f>IFERROR(VLOOKUP(A87,CFR20212022_BenchMarkDataReport!$B$4:$CL$90,44,0),0)</f>
        <v>197598.21</v>
      </c>
      <c r="AA87" s="258">
        <f>IFERROR(VLOOKUP(A87,CFR20212022_BenchMarkDataReport!$B$4:$CL$90,45,0),0)</f>
        <v>0</v>
      </c>
      <c r="AB87" s="258">
        <f>IFERROR(VLOOKUP(A87,CFR20212022_BenchMarkDataReport!$B$4:$CL$90,46,0),0)</f>
        <v>0</v>
      </c>
      <c r="AC87" s="258">
        <f>IFERROR(VLOOKUP(A87,CFR20212022_BenchMarkDataReport!$B$4:$CL$90,47,0),0)</f>
        <v>3755.25</v>
      </c>
      <c r="AD87" s="258">
        <f>IFERROR(VLOOKUP(A87,CFR20212022_BenchMarkDataReport!$B$4:$CL$90,48,0),0)</f>
        <v>5308</v>
      </c>
      <c r="AE87" s="258">
        <f>IFERROR(VLOOKUP(A87,CFR20212022_BenchMarkDataReport!$B$4:$CL$90,49,0),0)</f>
        <v>408.66</v>
      </c>
      <c r="AF87" s="258">
        <f>IFERROR(VLOOKUP(A87,CFR20212022_BenchMarkDataReport!$B$4:$CL$90,50,0),0)</f>
        <v>0</v>
      </c>
      <c r="AG87" s="258">
        <f>IFERROR(VLOOKUP(A87,CFR20212022_BenchMarkDataReport!$B$4:$CL$90,51,0),0)</f>
        <v>170947.83</v>
      </c>
      <c r="AH87" s="258">
        <f>IFERROR(VLOOKUP(A87,CFR20212022_BenchMarkDataReport!$B$4:$CL$90,52,0),0)</f>
        <v>0</v>
      </c>
      <c r="AI87" s="258">
        <f>IFERROR(VLOOKUP(A87,CFR20212022_BenchMarkDataReport!$B$4:$CL$90,53,0),0)</f>
        <v>42088.79</v>
      </c>
      <c r="AJ87" s="258">
        <f>IFERROR(VLOOKUP(A87,CFR20212022_BenchMarkDataReport!$B$4:$CL$90,54,0),0)</f>
        <v>307.58999999999997</v>
      </c>
      <c r="AK87" s="258">
        <f>IFERROR(VLOOKUP(A87,CFR20212022_BenchMarkDataReport!$B$4:$CL$90,55,0),0)</f>
        <v>14533.22</v>
      </c>
      <c r="AL87" s="258">
        <f>IFERROR(VLOOKUP(A87,CFR20212022_BenchMarkDataReport!$B$4:$CL$90,56,0),0)</f>
        <v>7168</v>
      </c>
      <c r="AM87" s="258">
        <f>IFERROR(VLOOKUP(A87,CFR20212022_BenchMarkDataReport!$B$4:$CL$90,57,0),0)</f>
        <v>93340.88</v>
      </c>
      <c r="AN87" s="258">
        <f>IFERROR(VLOOKUP(A87,CFR20212022_BenchMarkDataReport!$B$4:$CL$90,58,0),0)</f>
        <v>45686.39</v>
      </c>
      <c r="AO87" s="258">
        <f>IFERROR(VLOOKUP(A87,CFR20212022_BenchMarkDataReport!$B$4:$CL$90,59,0),0)</f>
        <v>22200.32</v>
      </c>
      <c r="AP87" s="258">
        <f>IFERROR(VLOOKUP(A87,CFR20212022_BenchMarkDataReport!$B$4:$CL$90,60,0),0)</f>
        <v>32728.95</v>
      </c>
      <c r="AQ87" s="258">
        <f>IFERROR(VLOOKUP(A87,CFR20212022_BenchMarkDataReport!$B$4:$CL$90,61,0),0)</f>
        <v>49105</v>
      </c>
      <c r="AR87" s="258">
        <f>IFERROR(VLOOKUP(A87,CFR20212022_BenchMarkDataReport!$B$4:$CL$90,62,0),0)</f>
        <v>9123.76</v>
      </c>
      <c r="AS87" s="258">
        <f>IFERROR(VLOOKUP(A87,CFR20212022_BenchMarkDataReport!$B$4:$CL$90,63,0),0)</f>
        <v>0</v>
      </c>
      <c r="AT87" s="258">
        <f>IFERROR(VLOOKUP(A87,CFR20212022_BenchMarkDataReport!$B$4:$CL$90,64,0),0)</f>
        <v>2749.5</v>
      </c>
      <c r="AU87" s="258">
        <f>IFERROR(VLOOKUP(A87,CFR20212022_BenchMarkDataReport!$B$4:$CL$90,65,0),0)</f>
        <v>0</v>
      </c>
      <c r="AV87" s="258">
        <f>IFERROR(VLOOKUP(A87,CFR20212022_BenchMarkDataReport!$B$4:$CL$90,66,0),0)</f>
        <v>27780.28</v>
      </c>
      <c r="AW87" s="258">
        <f>IFERROR(VLOOKUP(A87,CFR20212022_BenchMarkDataReport!$B$4:$CL$90,67,0),0)</f>
        <v>51395</v>
      </c>
      <c r="AX87" s="258">
        <f>IFERROR(VLOOKUP(A87,CFR20212022_BenchMarkDataReport!$B$4:$CL$90,68,0),0)</f>
        <v>0</v>
      </c>
      <c r="AY87" s="258">
        <f>IFERROR(VLOOKUP(A87,CFR20212022_BenchMarkDataReport!$B$4:$CL$90,69,0),0)</f>
        <v>0</v>
      </c>
      <c r="AZ87" s="258">
        <f>IFERROR(VLOOKUP(A87,CFR20212022_BenchMarkDataReport!$B$4:$CL$90,70,0),0)</f>
        <v>12453</v>
      </c>
      <c r="BA87" s="258">
        <f>IFERROR(VLOOKUP(A87,CFR20212022_BenchMarkDataReport!$B$4:$CL$90,71,0),0)</f>
        <v>0</v>
      </c>
      <c r="BB87" s="258">
        <f>IFERROR(VLOOKUP(A87,CFR20212022_BenchMarkDataReport!$B$4:$CL$90,72,0),0)</f>
        <v>0</v>
      </c>
      <c r="BC87" s="259">
        <f t="shared" si="239"/>
        <v>2857450.63</v>
      </c>
      <c r="BD87" s="260">
        <f t="shared" si="240"/>
        <v>2831178.31</v>
      </c>
      <c r="BE87" s="296">
        <f t="shared" si="241"/>
        <v>26272.319999999832</v>
      </c>
      <c r="BF87" s="258">
        <f>IFERROR(VLOOKUP(A87,CFR20212022_BenchMarkDataReport!$B$4:$CL$90,16,0),0)</f>
        <v>31471</v>
      </c>
      <c r="BG87" s="296">
        <f t="shared" si="242"/>
        <v>57743.319999999832</v>
      </c>
      <c r="BH87" s="261">
        <f>IFERROR(VLOOKUP(A87,'Pupil Nos BenchmarkData 21-22'!$A$6:$E$94,5,0),0)</f>
        <v>377</v>
      </c>
      <c r="BI87" s="260">
        <f t="shared" si="153"/>
        <v>2138741.1</v>
      </c>
      <c r="BJ87" s="227" t="s">
        <v>185</v>
      </c>
      <c r="BK87" s="262">
        <f t="shared" si="243"/>
        <v>0.58014220179195186</v>
      </c>
      <c r="BL87" s="263">
        <f t="shared" si="244"/>
        <v>4397.155702917772</v>
      </c>
      <c r="BM87" s="264">
        <f t="shared" si="245"/>
        <v>0.13658713676533407</v>
      </c>
      <c r="BN87" s="265">
        <f t="shared" si="246"/>
        <v>1035.2546419098144</v>
      </c>
      <c r="BO87" s="262">
        <f t="shared" si="247"/>
        <v>3.1749419936609714E-2</v>
      </c>
      <c r="BP87" s="263">
        <f t="shared" si="248"/>
        <v>240.64297082228114</v>
      </c>
      <c r="BQ87" s="264">
        <f t="shared" si="249"/>
        <v>0</v>
      </c>
      <c r="BR87" s="265">
        <f t="shared" si="250"/>
        <v>0</v>
      </c>
      <c r="BS87" s="262">
        <f t="shared" si="251"/>
        <v>5.3474099743238603E-3</v>
      </c>
      <c r="BT87" s="263">
        <f t="shared" si="252"/>
        <v>40.530397877984086</v>
      </c>
      <c r="BU87" s="264">
        <f t="shared" si="253"/>
        <v>4.4924069256797622E-2</v>
      </c>
      <c r="BV87" s="265">
        <f t="shared" si="254"/>
        <v>340.49949602122012</v>
      </c>
      <c r="BW87" s="262">
        <f t="shared" si="255"/>
        <v>4.899472226402036E-4</v>
      </c>
      <c r="BX87" s="263">
        <f t="shared" si="256"/>
        <v>3.7135278514588861</v>
      </c>
      <c r="BY87" s="264">
        <f t="shared" si="257"/>
        <v>0</v>
      </c>
      <c r="BZ87" s="266">
        <f t="shared" si="258"/>
        <v>0</v>
      </c>
      <c r="CA87" s="267">
        <f t="shared" si="259"/>
        <v>0</v>
      </c>
      <c r="CB87" s="268">
        <f t="shared" si="260"/>
        <v>0</v>
      </c>
      <c r="CC87" s="264">
        <f t="shared" si="261"/>
        <v>0.18268032158441877</v>
      </c>
      <c r="CD87" s="265">
        <f t="shared" si="262"/>
        <v>1384.6153846153845</v>
      </c>
      <c r="CE87" s="269">
        <f t="shared" si="263"/>
        <v>0.86250549447055558</v>
      </c>
      <c r="CF87" s="267">
        <f t="shared" si="264"/>
        <v>0.64556704169548507</v>
      </c>
      <c r="CG87" s="267">
        <f t="shared" si="265"/>
        <v>0.65155767246606233</v>
      </c>
      <c r="CH87" s="268">
        <f t="shared" si="266"/>
        <v>4893.0396551724134</v>
      </c>
      <c r="CI87" s="264">
        <f t="shared" si="267"/>
        <v>7.1024749091883999E-2</v>
      </c>
      <c r="CJ87" s="270">
        <f t="shared" si="268"/>
        <v>5.3160516022633782E-2</v>
      </c>
      <c r="CK87" s="270">
        <f t="shared" si="269"/>
        <v>5.3653826558172517E-2</v>
      </c>
      <c r="CL87" s="271">
        <f t="shared" si="270"/>
        <v>402.92718832891245</v>
      </c>
      <c r="CM87" s="269">
        <f t="shared" si="270"/>
        <v>2.1470658603792669E-2</v>
      </c>
      <c r="CN87" s="267">
        <f t="shared" si="271"/>
        <v>1.6070331895813018E-2</v>
      </c>
      <c r="CO87" s="267">
        <f t="shared" si="272"/>
        <v>1.6219458816071532E-2</v>
      </c>
      <c r="CP87" s="268">
        <f t="shared" si="273"/>
        <v>121.80419098143236</v>
      </c>
      <c r="CQ87" s="264">
        <f t="shared" si="273"/>
        <v>9.2389962487745697E-2</v>
      </c>
      <c r="CR87" s="270">
        <f t="shared" si="274"/>
        <v>6.9151924420125507E-2</v>
      </c>
      <c r="CS87" s="270">
        <f t="shared" si="275"/>
        <v>6.9793629494145137E-2</v>
      </c>
      <c r="CT87" s="265">
        <f t="shared" si="276"/>
        <v>524.13318302387268</v>
      </c>
      <c r="CU87" s="269">
        <f t="shared" si="277"/>
        <v>1.047390864653978</v>
      </c>
      <c r="CV87" s="267">
        <f t="shared" si="278"/>
        <v>0.78394981403405739</v>
      </c>
      <c r="CW87" s="267">
        <f t="shared" si="279"/>
        <v>0.79122458733445156</v>
      </c>
      <c r="CX87" s="268">
        <f t="shared" si="280"/>
        <v>5941.9042175066315</v>
      </c>
      <c r="CY87" s="264">
        <f t="shared" si="281"/>
        <v>7.9929183574393353E-2</v>
      </c>
      <c r="CZ87" s="270">
        <f t="shared" si="282"/>
        <v>6.0380453395038898E-2</v>
      </c>
      <c r="DA87" s="265">
        <f t="shared" si="283"/>
        <v>453.44251989389915</v>
      </c>
      <c r="DB87" s="269">
        <f t="shared" si="284"/>
        <v>1.0864381056945861E-4</v>
      </c>
      <c r="DC87" s="268">
        <f t="shared" si="285"/>
        <v>0.81588859416445614</v>
      </c>
      <c r="DD87" s="264">
        <f t="shared" si="285"/>
        <v>6.795221731138939E-3</v>
      </c>
      <c r="DE87" s="270">
        <f t="shared" si="286"/>
        <v>5.1332761164025725E-3</v>
      </c>
      <c r="DF87" s="265">
        <f t="shared" si="287"/>
        <v>38.549655172413793</v>
      </c>
      <c r="DG87" s="269">
        <f t="shared" si="288"/>
        <v>4.3642907502923101E-2</v>
      </c>
      <c r="DH87" s="267">
        <f t="shared" si="289"/>
        <v>3.2968916041180039E-2</v>
      </c>
      <c r="DI87" s="272">
        <f t="shared" si="290"/>
        <v>247.58854111405836</v>
      </c>
      <c r="DJ87" s="264">
        <f t="shared" si="290"/>
        <v>2.1361346635177112E-2</v>
      </c>
      <c r="DK87" s="270">
        <f t="shared" si="291"/>
        <v>1.5988514209255122E-2</v>
      </c>
      <c r="DL87" s="270">
        <f t="shared" si="292"/>
        <v>1.6136881890706486E-2</v>
      </c>
      <c r="DM87" s="265">
        <f t="shared" si="293"/>
        <v>121.18405835543767</v>
      </c>
      <c r="DN87" s="269">
        <f t="shared" si="294"/>
        <v>2.2959768248714162E-2</v>
      </c>
      <c r="DO87" s="267">
        <f t="shared" si="295"/>
        <v>1.7344368536081359E-2</v>
      </c>
      <c r="DP87" s="268">
        <f t="shared" si="296"/>
        <v>130.25198938992042</v>
      </c>
      <c r="DQ87" s="264">
        <f t="shared" si="297"/>
        <v>1.2989080351988373E-2</v>
      </c>
      <c r="DR87" s="270">
        <f t="shared" si="298"/>
        <v>9.812267882202021E-3</v>
      </c>
      <c r="DS87" s="265">
        <f t="shared" si="299"/>
        <v>73.687745358090183</v>
      </c>
      <c r="DT87" s="269">
        <f t="shared" si="300"/>
        <v>9.7115041828644134E-4</v>
      </c>
      <c r="DU87" s="268">
        <f t="shared" si="301"/>
        <v>7.2931034482758621</v>
      </c>
      <c r="DV87" s="264">
        <f t="shared" si="157"/>
        <v>1.4866174218465244E-2</v>
      </c>
      <c r="DW87" s="265">
        <f t="shared" si="158"/>
        <v>111.6413527851459</v>
      </c>
      <c r="DX87" s="264">
        <f t="shared" si="302"/>
        <v>7.4810363909872026E-6</v>
      </c>
      <c r="DY87" s="270">
        <f t="shared" si="303"/>
        <v>5.5993968301737551E-6</v>
      </c>
      <c r="DZ87" s="270">
        <f t="shared" si="304"/>
        <v>5.6513572258894565E-6</v>
      </c>
      <c r="EA87" s="265">
        <f t="shared" si="305"/>
        <v>4.2440318302387266E-2</v>
      </c>
      <c r="EB87" s="273">
        <f>IFERROR(VLOOKUP(A87,'BARNET SCHS PUPIL PREMIUM Nos'!$E$31:$V$117,17,0),0)</f>
        <v>16</v>
      </c>
      <c r="EC87" s="258">
        <f>IFERROR(VLOOKUP(A87,CFR20212022_BenchMarkDataReport!$B$4:$CL$90,36,0),0)</f>
        <v>0</v>
      </c>
      <c r="ED87" s="258">
        <f>IFERROR(VLOOKUP(A87,CFR20212022_BenchMarkDataReport!$B$4:$CL$90,37,0),0)</f>
        <v>38220</v>
      </c>
      <c r="EE87" s="258">
        <f>IFERROR(VLOOKUP(A87,CFR20212022_BenchMarkDataReport!$B$4:$CL$90,38,0),0)</f>
        <v>13441.26</v>
      </c>
      <c r="EF87" s="258">
        <f>IFERROR(VLOOKUP(A87,CFR20212022_BenchMarkDataReport!$B$4:$CL$90,39,0),0)</f>
        <v>0</v>
      </c>
      <c r="EG87" s="227"/>
    </row>
    <row r="88" spans="1:230" s="5" customFormat="1">
      <c r="A88" s="293">
        <v>5427</v>
      </c>
      <c r="B88" s="294">
        <v>11174</v>
      </c>
      <c r="C88" s="293" t="s">
        <v>301</v>
      </c>
      <c r="D88" s="258">
        <f>IFERROR(VLOOKUP(A88,CFR20212022_BenchMarkDataReport!$B$4:$CL$90,19,0),0)</f>
        <v>6989165.4199999999</v>
      </c>
      <c r="E88" s="258">
        <f>IFERROR(VLOOKUP(A88,CFR20212022_BenchMarkDataReport!$B$4:$CL$90,20,0),0)</f>
        <v>1577555</v>
      </c>
      <c r="F88" s="258">
        <f>IFERROR(VLOOKUP(A88,CFR20212022_BenchMarkDataReport!$B$4:$CL$90,21,0),0)</f>
        <v>1439453.48</v>
      </c>
      <c r="G88" s="258">
        <f>IFERROR(VLOOKUP(A88,CFR20212022_BenchMarkDataReport!$B$4:$CL$90,22,0),0)</f>
        <v>0</v>
      </c>
      <c r="H88" s="258">
        <f>IFERROR(VLOOKUP(A88,CFR20212022_BenchMarkDataReport!$B$4:$CL$90,23,0),0)</f>
        <v>65524.85</v>
      </c>
      <c r="I88" s="258">
        <f>IFERROR(VLOOKUP(A88,CFR20212022_BenchMarkDataReport!$B$4:$CL$90,24,0),0)</f>
        <v>369189.62</v>
      </c>
      <c r="J88" s="258">
        <f>IFERROR(VLOOKUP(A88,CFR20212022_BenchMarkDataReport!$B$4:$CL$90,25,0),0)</f>
        <v>0</v>
      </c>
      <c r="K88" s="258">
        <f>IFERROR(VLOOKUP(A88,CFR20212022_BenchMarkDataReport!$B$4:$CL$90,26,0),0)</f>
        <v>12610</v>
      </c>
      <c r="L88" s="258">
        <f>IFERROR(VLOOKUP(A88,CFR20212022_BenchMarkDataReport!$B$4:$CL$90,27,0),0)</f>
        <v>0</v>
      </c>
      <c r="M88" s="258">
        <f>IFERROR(VLOOKUP(A88,CFR20212022_BenchMarkDataReport!$B$4:$CL$90,28,0),0)</f>
        <v>77000</v>
      </c>
      <c r="N88" s="258">
        <f>IFERROR(VLOOKUP(A88,CFR20212022_BenchMarkDataReport!$B$4:$CL$90,29,0),0)</f>
        <v>9022</v>
      </c>
      <c r="O88" s="258">
        <f>IFERROR(VLOOKUP(A88,CFR20212022_BenchMarkDataReport!$B$4:$CL$90,30,0),0)</f>
        <v>0</v>
      </c>
      <c r="P88" s="258">
        <f>IFERROR(VLOOKUP(A88,CFR20212022_BenchMarkDataReport!$B$4:$CL$90,31,0),0)</f>
        <v>1093919.74</v>
      </c>
      <c r="Q88" s="258">
        <f>IFERROR(VLOOKUP(A88,CFR20212022_BenchMarkDataReport!$B$4:$CL$90,32,0),0)</f>
        <v>1713630</v>
      </c>
      <c r="R88" s="258">
        <f>IFERROR(VLOOKUP(A88,CFR20212022_BenchMarkDataReport!$B$4:$CL$90,33,0),0)</f>
        <v>0</v>
      </c>
      <c r="S88" s="258">
        <f>IFERROR(VLOOKUP(A88,CFR20212022_BenchMarkDataReport!$B$4:$CL$90,34,0),0)</f>
        <v>0</v>
      </c>
      <c r="T88" s="258">
        <f>IFERROR(VLOOKUP(A88,CFR20212022_BenchMarkDataReport!$B$4:$CL$90,35,0),0)</f>
        <v>0</v>
      </c>
      <c r="U88" s="258">
        <f t="shared" si="152"/>
        <v>112455</v>
      </c>
      <c r="V88" s="258">
        <f>IFERROR(VLOOKUP(A88,CFR20212022_BenchMarkDataReport!$B$4:$CL$90,40,0),0)</f>
        <v>6925790</v>
      </c>
      <c r="W88" s="258">
        <f>IFERROR(VLOOKUP(A88,CFR20212022_BenchMarkDataReport!$B$4:$CL$90,41,0),0)</f>
        <v>86765.45</v>
      </c>
      <c r="X88" s="258">
        <f>IFERROR(VLOOKUP(A88,CFR20212022_BenchMarkDataReport!$B$4:$CL$90,42,0),0)</f>
        <v>1816863.61</v>
      </c>
      <c r="Y88" s="258">
        <f>IFERROR(VLOOKUP(A88,CFR20212022_BenchMarkDataReport!$B$4:$CL$90,43,0),0)</f>
        <v>159251</v>
      </c>
      <c r="Z88" s="258">
        <f>IFERROR(VLOOKUP(A88,CFR20212022_BenchMarkDataReport!$B$4:$CL$90,44,0),0)</f>
        <v>843911</v>
      </c>
      <c r="AA88" s="258">
        <f>IFERROR(VLOOKUP(A88,CFR20212022_BenchMarkDataReport!$B$4:$CL$90,45,0),0)</f>
        <v>0</v>
      </c>
      <c r="AB88" s="258">
        <f>IFERROR(VLOOKUP(A88,CFR20212022_BenchMarkDataReport!$B$4:$CL$90,46,0),0)</f>
        <v>87893</v>
      </c>
      <c r="AC88" s="258">
        <f>IFERROR(VLOOKUP(A88,CFR20212022_BenchMarkDataReport!$B$4:$CL$90,47,0),0)</f>
        <v>131976</v>
      </c>
      <c r="AD88" s="258">
        <f>IFERROR(VLOOKUP(A88,CFR20212022_BenchMarkDataReport!$B$4:$CL$90,48,0),0)</f>
        <v>27147</v>
      </c>
      <c r="AE88" s="258">
        <f>IFERROR(VLOOKUP(A88,CFR20212022_BenchMarkDataReport!$B$4:$CL$90,49,0),0)</f>
        <v>48620.67</v>
      </c>
      <c r="AF88" s="258">
        <f>IFERROR(VLOOKUP(A88,CFR20212022_BenchMarkDataReport!$B$4:$CL$90,50,0),0)</f>
        <v>0</v>
      </c>
      <c r="AG88" s="258">
        <f>IFERROR(VLOOKUP(A88,CFR20212022_BenchMarkDataReport!$B$4:$CL$90,51,0),0)</f>
        <v>237923.13</v>
      </c>
      <c r="AH88" s="258">
        <f>IFERROR(VLOOKUP(A88,CFR20212022_BenchMarkDataReport!$B$4:$CL$90,52,0),0)</f>
        <v>25445.13</v>
      </c>
      <c r="AI88" s="258">
        <f>IFERROR(VLOOKUP(A88,CFR20212022_BenchMarkDataReport!$B$4:$CL$90,53,0),0)</f>
        <v>161532</v>
      </c>
      <c r="AJ88" s="258">
        <f>IFERROR(VLOOKUP(A88,CFR20212022_BenchMarkDataReport!$B$4:$CL$90,54,0),0)</f>
        <v>25295.68</v>
      </c>
      <c r="AK88" s="258">
        <f>IFERROR(VLOOKUP(A88,CFR20212022_BenchMarkDataReport!$B$4:$CL$90,55,0),0)</f>
        <v>206478</v>
      </c>
      <c r="AL88" s="258">
        <f>IFERROR(VLOOKUP(A88,CFR20212022_BenchMarkDataReport!$B$4:$CL$90,56,0),0)</f>
        <v>60523.79</v>
      </c>
      <c r="AM88" s="258">
        <f>IFERROR(VLOOKUP(A88,CFR20212022_BenchMarkDataReport!$B$4:$CL$90,57,0),0)</f>
        <v>347156.66</v>
      </c>
      <c r="AN88" s="258">
        <f>IFERROR(VLOOKUP(A88,CFR20212022_BenchMarkDataReport!$B$4:$CL$90,58,0),0)</f>
        <v>368709</v>
      </c>
      <c r="AO88" s="258">
        <f>IFERROR(VLOOKUP(A88,CFR20212022_BenchMarkDataReport!$B$4:$CL$90,59,0),0)</f>
        <v>160751.24</v>
      </c>
      <c r="AP88" s="258">
        <f>IFERROR(VLOOKUP(A88,CFR20212022_BenchMarkDataReport!$B$4:$CL$90,60,0),0)</f>
        <v>122268</v>
      </c>
      <c r="AQ88" s="258">
        <f>IFERROR(VLOOKUP(A88,CFR20212022_BenchMarkDataReport!$B$4:$CL$90,61,0),0)</f>
        <v>37637</v>
      </c>
      <c r="AR88" s="258">
        <f>IFERROR(VLOOKUP(A88,CFR20212022_BenchMarkDataReport!$B$4:$CL$90,62,0),0)</f>
        <v>80258.92</v>
      </c>
      <c r="AS88" s="258">
        <f>IFERROR(VLOOKUP(A88,CFR20212022_BenchMarkDataReport!$B$4:$CL$90,63,0),0)</f>
        <v>0</v>
      </c>
      <c r="AT88" s="258">
        <f>IFERROR(VLOOKUP(A88,CFR20212022_BenchMarkDataReport!$B$4:$CL$90,64,0),0)</f>
        <v>46570.86</v>
      </c>
      <c r="AU88" s="258">
        <f>IFERROR(VLOOKUP(A88,CFR20212022_BenchMarkDataReport!$B$4:$CL$90,65,0),0)</f>
        <v>132995.93</v>
      </c>
      <c r="AV88" s="258">
        <f>IFERROR(VLOOKUP(A88,CFR20212022_BenchMarkDataReport!$B$4:$CL$90,66,0),0)</f>
        <v>615821.84</v>
      </c>
      <c r="AW88" s="258">
        <f>IFERROR(VLOOKUP(A88,CFR20212022_BenchMarkDataReport!$B$4:$CL$90,67,0),0)</f>
        <v>766955.01</v>
      </c>
      <c r="AX88" s="258">
        <f>IFERROR(VLOOKUP(A88,CFR20212022_BenchMarkDataReport!$B$4:$CL$90,68,0),0)</f>
        <v>0</v>
      </c>
      <c r="AY88" s="258">
        <f>IFERROR(VLOOKUP(A88,CFR20212022_BenchMarkDataReport!$B$4:$CL$90,69,0),0)</f>
        <v>0</v>
      </c>
      <c r="AZ88" s="258">
        <f>IFERROR(VLOOKUP(A88,CFR20212022_BenchMarkDataReport!$B$4:$CL$90,70,0),0)</f>
        <v>0</v>
      </c>
      <c r="BA88" s="258">
        <f>IFERROR(VLOOKUP(A88,CFR20212022_BenchMarkDataReport!$B$4:$CL$90,71,0),0)</f>
        <v>0</v>
      </c>
      <c r="BB88" s="258">
        <f>IFERROR(VLOOKUP(A88,CFR20212022_BenchMarkDataReport!$B$4:$CL$90,72,0),0)</f>
        <v>0</v>
      </c>
      <c r="BC88" s="259">
        <f t="shared" si="239"/>
        <v>13459525.109999999</v>
      </c>
      <c r="BD88" s="260">
        <f t="shared" si="240"/>
        <v>13524539.92</v>
      </c>
      <c r="BE88" s="296">
        <f t="shared" si="241"/>
        <v>-65014.810000000522</v>
      </c>
      <c r="BF88" s="258">
        <f>IFERROR(VLOOKUP(A88,CFR20212022_BenchMarkDataReport!$B$4:$CL$90,16,0),0)</f>
        <v>91021.7</v>
      </c>
      <c r="BG88" s="296">
        <f t="shared" si="242"/>
        <v>26006.889999999476</v>
      </c>
      <c r="BH88" s="261">
        <f>IFERROR(VLOOKUP(A88,'Pupil Nos BenchmarkData 21-22'!$A$6:$E$94,5,0),0)</f>
        <v>1335</v>
      </c>
      <c r="BI88" s="260">
        <f t="shared" si="153"/>
        <v>10006173.9</v>
      </c>
      <c r="BJ88" s="227" t="s">
        <v>185</v>
      </c>
      <c r="BK88" s="262">
        <f t="shared" si="243"/>
        <v>0.51927280961846656</v>
      </c>
      <c r="BL88" s="263">
        <f t="shared" si="244"/>
        <v>5235.3299026217228</v>
      </c>
      <c r="BM88" s="264">
        <f t="shared" si="245"/>
        <v>0.11720732991002236</v>
      </c>
      <c r="BN88" s="265">
        <f t="shared" si="246"/>
        <v>1181.689138576779</v>
      </c>
      <c r="BO88" s="262">
        <f t="shared" si="247"/>
        <v>0.10694682525838388</v>
      </c>
      <c r="BP88" s="263">
        <f t="shared" si="248"/>
        <v>1078.2423071161049</v>
      </c>
      <c r="BQ88" s="264">
        <f t="shared" si="249"/>
        <v>0</v>
      </c>
      <c r="BR88" s="265">
        <f t="shared" si="250"/>
        <v>0</v>
      </c>
      <c r="BS88" s="262">
        <f t="shared" si="251"/>
        <v>4.8682884027845168E-3</v>
      </c>
      <c r="BT88" s="263">
        <f t="shared" si="252"/>
        <v>49.082284644194758</v>
      </c>
      <c r="BU88" s="264">
        <f t="shared" si="253"/>
        <v>2.7429617091445809E-2</v>
      </c>
      <c r="BV88" s="265">
        <f t="shared" si="254"/>
        <v>276.546531835206</v>
      </c>
      <c r="BW88" s="262">
        <f t="shared" si="255"/>
        <v>0</v>
      </c>
      <c r="BX88" s="263">
        <f t="shared" si="256"/>
        <v>0</v>
      </c>
      <c r="BY88" s="264">
        <f t="shared" si="257"/>
        <v>9.3688298041296944E-4</v>
      </c>
      <c r="BZ88" s="266">
        <f t="shared" si="258"/>
        <v>9.4456928838951306</v>
      </c>
      <c r="CA88" s="267">
        <f t="shared" si="259"/>
        <v>8.1274764975716146E-2</v>
      </c>
      <c r="CB88" s="268">
        <f t="shared" si="260"/>
        <v>819.41553558052431</v>
      </c>
      <c r="CC88" s="264">
        <f t="shared" si="261"/>
        <v>0.12731727055710362</v>
      </c>
      <c r="CD88" s="265">
        <f t="shared" si="262"/>
        <v>1283.6179775280898</v>
      </c>
      <c r="CE88" s="269">
        <f t="shared" si="263"/>
        <v>0.71411425100257353</v>
      </c>
      <c r="CF88" s="267">
        <f t="shared" si="264"/>
        <v>0.53089179013389431</v>
      </c>
      <c r="CG88" s="267">
        <f t="shared" si="265"/>
        <v>0.52833970118519191</v>
      </c>
      <c r="CH88" s="268">
        <f t="shared" si="266"/>
        <v>5352.4729438202248</v>
      </c>
      <c r="CI88" s="264">
        <f t="shared" si="267"/>
        <v>0.1815742588683173</v>
      </c>
      <c r="CJ88" s="270">
        <f t="shared" si="268"/>
        <v>0.13498720015389906</v>
      </c>
      <c r="CK88" s="270">
        <f t="shared" si="269"/>
        <v>0.13433829326151303</v>
      </c>
      <c r="CL88" s="271">
        <f t="shared" si="270"/>
        <v>1360.9465243445693</v>
      </c>
      <c r="CM88" s="269">
        <f t="shared" si="270"/>
        <v>1.5915274068942574E-2</v>
      </c>
      <c r="CN88" s="267">
        <f t="shared" si="271"/>
        <v>1.1831843894825202E-2</v>
      </c>
      <c r="CO88" s="267">
        <f t="shared" si="272"/>
        <v>1.1774966168313103E-2</v>
      </c>
      <c r="CP88" s="268">
        <f t="shared" si="273"/>
        <v>119.28913857677902</v>
      </c>
      <c r="CQ88" s="264">
        <f t="shared" si="273"/>
        <v>8.4339029926313785E-2</v>
      </c>
      <c r="CR88" s="270">
        <f t="shared" si="274"/>
        <v>6.2699909031188703E-2</v>
      </c>
      <c r="CS88" s="270">
        <f t="shared" si="275"/>
        <v>6.23984996895924E-2</v>
      </c>
      <c r="CT88" s="265">
        <f t="shared" si="276"/>
        <v>632.14307116104874</v>
      </c>
      <c r="CU88" s="269">
        <f t="shared" si="277"/>
        <v>0.99143530375781297</v>
      </c>
      <c r="CV88" s="267">
        <f t="shared" si="278"/>
        <v>0.73705973865522223</v>
      </c>
      <c r="CW88" s="267">
        <f t="shared" si="279"/>
        <v>0.73351656460636194</v>
      </c>
      <c r="CX88" s="268">
        <f t="shared" si="280"/>
        <v>7431.0667116104869</v>
      </c>
      <c r="CY88" s="264">
        <f t="shared" si="281"/>
        <v>2.3777632927207071E-2</v>
      </c>
      <c r="CZ88" s="270">
        <f t="shared" si="282"/>
        <v>1.759195739059196E-2</v>
      </c>
      <c r="DA88" s="265">
        <f t="shared" si="283"/>
        <v>178.21957303370786</v>
      </c>
      <c r="DB88" s="269">
        <f t="shared" si="284"/>
        <v>1.8703541968620252E-3</v>
      </c>
      <c r="DC88" s="268">
        <f t="shared" si="285"/>
        <v>18.94807490636704</v>
      </c>
      <c r="DD88" s="264">
        <f t="shared" si="285"/>
        <v>2.0635060120232369E-2</v>
      </c>
      <c r="DE88" s="270">
        <f t="shared" si="286"/>
        <v>1.5266914898499557E-2</v>
      </c>
      <c r="DF88" s="265">
        <f t="shared" si="287"/>
        <v>154.66516853932583</v>
      </c>
      <c r="DG88" s="269">
        <f t="shared" si="288"/>
        <v>3.4694246119388344E-2</v>
      </c>
      <c r="DH88" s="267">
        <f t="shared" si="289"/>
        <v>2.566864840160862E-2</v>
      </c>
      <c r="DI88" s="272">
        <f t="shared" si="290"/>
        <v>260.04244194756552</v>
      </c>
      <c r="DJ88" s="264">
        <f t="shared" si="290"/>
        <v>3.6848150320473644E-2</v>
      </c>
      <c r="DK88" s="270">
        <f t="shared" si="291"/>
        <v>2.7393908550760154E-2</v>
      </c>
      <c r="DL88" s="270">
        <f t="shared" si="292"/>
        <v>2.7262221279317277E-2</v>
      </c>
      <c r="DM88" s="265">
        <f t="shared" si="293"/>
        <v>276.18651685393257</v>
      </c>
      <c r="DN88" s="269">
        <f t="shared" si="294"/>
        <v>3.7613777629829119E-3</v>
      </c>
      <c r="DO88" s="267">
        <f t="shared" si="295"/>
        <v>2.7828673080658849E-3</v>
      </c>
      <c r="DP88" s="268">
        <f t="shared" si="296"/>
        <v>28.19250936329588</v>
      </c>
      <c r="DQ88" s="264">
        <f t="shared" si="297"/>
        <v>6.1544187234243444E-2</v>
      </c>
      <c r="DR88" s="270">
        <f t="shared" si="298"/>
        <v>4.5533662782075622E-2</v>
      </c>
      <c r="DS88" s="265">
        <f t="shared" si="299"/>
        <v>461.28976779026215</v>
      </c>
      <c r="DT88" s="269">
        <f t="shared" si="300"/>
        <v>3.4434339560143797E-3</v>
      </c>
      <c r="DU88" s="268">
        <f t="shared" si="301"/>
        <v>34.884539325842695</v>
      </c>
      <c r="DV88" s="264">
        <f t="shared" si="157"/>
        <v>1.194362255244835E-2</v>
      </c>
      <c r="DW88" s="265">
        <f t="shared" si="158"/>
        <v>120.99775280898876</v>
      </c>
      <c r="DX88" s="264">
        <f t="shared" si="302"/>
        <v>6.4959894410789717E-6</v>
      </c>
      <c r="DY88" s="270">
        <f t="shared" si="303"/>
        <v>4.8292937134689149E-6</v>
      </c>
      <c r="DZ88" s="270">
        <f t="shared" si="304"/>
        <v>4.806078460671215E-6</v>
      </c>
      <c r="EA88" s="265">
        <f t="shared" si="305"/>
        <v>4.8689138576779027E-2</v>
      </c>
      <c r="EB88" s="273">
        <f>IFERROR(VLOOKUP(A88,'BARNET SCHS PUPIL PREMIUM Nos'!$E$31:$V$117,17,0),0)</f>
        <v>65</v>
      </c>
      <c r="EC88" s="258">
        <f>IFERROR(VLOOKUP(A88,CFR20212022_BenchMarkDataReport!$B$4:$CL$90,36,0),0)</f>
        <v>0</v>
      </c>
      <c r="ED88" s="258">
        <f>IFERROR(VLOOKUP(A88,CFR20212022_BenchMarkDataReport!$B$4:$CL$90,37,0),0)</f>
        <v>0</v>
      </c>
      <c r="EE88" s="258">
        <f>IFERROR(VLOOKUP(A88,CFR20212022_BenchMarkDataReport!$B$4:$CL$90,38,0),0)</f>
        <v>0</v>
      </c>
      <c r="EF88" s="258">
        <f>IFERROR(VLOOKUP(A88,CFR20212022_BenchMarkDataReport!$B$4:$CL$90,39,0),0)</f>
        <v>112455</v>
      </c>
      <c r="EG88" s="227"/>
    </row>
    <row r="89" spans="1:230" s="5" customFormat="1">
      <c r="A89" s="293">
        <v>5407</v>
      </c>
      <c r="B89" s="294">
        <v>10142</v>
      </c>
      <c r="C89" s="293" t="s">
        <v>114</v>
      </c>
      <c r="D89" s="258">
        <f>IFERROR(VLOOKUP(A89,CFR20212022_BenchMarkDataReport!$B$4:$CL$90,19,0),0)</f>
        <v>6619110.5899999999</v>
      </c>
      <c r="E89" s="258">
        <f>IFERROR(VLOOKUP(A89,CFR20212022_BenchMarkDataReport!$B$4:$CL$90,20,0),0)</f>
        <v>1064718.01</v>
      </c>
      <c r="F89" s="258">
        <f>IFERROR(VLOOKUP(A89,CFR20212022_BenchMarkDataReport!$B$4:$CL$90,21,0),0)</f>
        <v>418982.69</v>
      </c>
      <c r="G89" s="258">
        <f>IFERROR(VLOOKUP(A89,CFR20212022_BenchMarkDataReport!$B$4:$CL$90,22,0),0)</f>
        <v>0</v>
      </c>
      <c r="H89" s="258">
        <f>IFERROR(VLOOKUP(A89,CFR20212022_BenchMarkDataReport!$B$4:$CL$90,23,0),0)</f>
        <v>294455.03000000003</v>
      </c>
      <c r="I89" s="258">
        <f>IFERROR(VLOOKUP(A89,CFR20212022_BenchMarkDataReport!$B$4:$CL$90,24,0),0)</f>
        <v>0</v>
      </c>
      <c r="J89" s="258">
        <f>IFERROR(VLOOKUP(A89,CFR20212022_BenchMarkDataReport!$B$4:$CL$90,25,0),0)</f>
        <v>0</v>
      </c>
      <c r="K89" s="258">
        <f>IFERROR(VLOOKUP(A89,CFR20212022_BenchMarkDataReport!$B$4:$CL$90,26,0),0)</f>
        <v>102.48</v>
      </c>
      <c r="L89" s="258">
        <f>IFERROR(VLOOKUP(A89,CFR20212022_BenchMarkDataReport!$B$4:$CL$90,27,0),0)</f>
        <v>0</v>
      </c>
      <c r="M89" s="258">
        <f>IFERROR(VLOOKUP(A89,CFR20212022_BenchMarkDataReport!$B$4:$CL$90,28,0),0)</f>
        <v>0</v>
      </c>
      <c r="N89" s="258">
        <f>IFERROR(VLOOKUP(A89,CFR20212022_BenchMarkDataReport!$B$4:$CL$90,29,0),0)</f>
        <v>0</v>
      </c>
      <c r="O89" s="258">
        <f>IFERROR(VLOOKUP(A89,CFR20212022_BenchMarkDataReport!$B$4:$CL$90,30,0),0)</f>
        <v>0</v>
      </c>
      <c r="P89" s="258">
        <f>IFERROR(VLOOKUP(A89,CFR20212022_BenchMarkDataReport!$B$4:$CL$90,31,0),0)</f>
        <v>86355.32</v>
      </c>
      <c r="Q89" s="258">
        <f>IFERROR(VLOOKUP(A89,CFR20212022_BenchMarkDataReport!$B$4:$CL$90,32,0),0)</f>
        <v>40216.79</v>
      </c>
      <c r="R89" s="258">
        <f>IFERROR(VLOOKUP(A89,CFR20212022_BenchMarkDataReport!$B$4:$CL$90,33,0),0)</f>
        <v>0</v>
      </c>
      <c r="S89" s="258">
        <f>IFERROR(VLOOKUP(A89,CFR20212022_BenchMarkDataReport!$B$4:$CL$90,34,0),0)</f>
        <v>0</v>
      </c>
      <c r="T89" s="258">
        <f>IFERROR(VLOOKUP(A89,CFR20212022_BenchMarkDataReport!$B$4:$CL$90,35,0),0)</f>
        <v>0</v>
      </c>
      <c r="U89" s="258">
        <f t="shared" si="152"/>
        <v>154015.93</v>
      </c>
      <c r="V89" s="258">
        <f>IFERROR(VLOOKUP(A89,CFR20212022_BenchMarkDataReport!$B$4:$CL$90,40,0),0)</f>
        <v>4905763.1399999997</v>
      </c>
      <c r="W89" s="258">
        <f>IFERROR(VLOOKUP(A89,CFR20212022_BenchMarkDataReport!$B$4:$CL$90,41,0),0)</f>
        <v>0</v>
      </c>
      <c r="X89" s="258">
        <f>IFERROR(VLOOKUP(A89,CFR20212022_BenchMarkDataReport!$B$4:$CL$90,42,0),0)</f>
        <v>892312.79</v>
      </c>
      <c r="Y89" s="258">
        <f>IFERROR(VLOOKUP(A89,CFR20212022_BenchMarkDataReport!$B$4:$CL$90,43,0),0)</f>
        <v>131734.26</v>
      </c>
      <c r="Z89" s="258">
        <f>IFERROR(VLOOKUP(A89,CFR20212022_BenchMarkDataReport!$B$4:$CL$90,44,0),0)</f>
        <v>455088.74</v>
      </c>
      <c r="AA89" s="258">
        <f>IFERROR(VLOOKUP(A89,CFR20212022_BenchMarkDataReport!$B$4:$CL$90,45,0),0)</f>
        <v>0</v>
      </c>
      <c r="AB89" s="258">
        <f>IFERROR(VLOOKUP(A89,CFR20212022_BenchMarkDataReport!$B$4:$CL$90,46,0),0)</f>
        <v>52182.28</v>
      </c>
      <c r="AC89" s="258">
        <f>IFERROR(VLOOKUP(A89,CFR20212022_BenchMarkDataReport!$B$4:$CL$90,47,0),0)</f>
        <v>141515.66</v>
      </c>
      <c r="AD89" s="258">
        <f>IFERROR(VLOOKUP(A89,CFR20212022_BenchMarkDataReport!$B$4:$CL$90,48,0),0)</f>
        <v>17491.900000000001</v>
      </c>
      <c r="AE89" s="258">
        <f>IFERROR(VLOOKUP(A89,CFR20212022_BenchMarkDataReport!$B$4:$CL$90,49,0),0)</f>
        <v>1553.18</v>
      </c>
      <c r="AF89" s="258">
        <f>IFERROR(VLOOKUP(A89,CFR20212022_BenchMarkDataReport!$B$4:$CL$90,50,0),0)</f>
        <v>4881.6400000000003</v>
      </c>
      <c r="AG89" s="258">
        <f>IFERROR(VLOOKUP(A89,CFR20212022_BenchMarkDataReport!$B$4:$CL$90,51,0),0)</f>
        <v>130112.22</v>
      </c>
      <c r="AH89" s="258">
        <f>IFERROR(VLOOKUP(A89,CFR20212022_BenchMarkDataReport!$B$4:$CL$90,52,0),0)</f>
        <v>6489.45</v>
      </c>
      <c r="AI89" s="258">
        <f>IFERROR(VLOOKUP(A89,CFR20212022_BenchMarkDataReport!$B$4:$CL$90,53,0),0)</f>
        <v>154909.64000000001</v>
      </c>
      <c r="AJ89" s="258">
        <f>IFERROR(VLOOKUP(A89,CFR20212022_BenchMarkDataReport!$B$4:$CL$90,54,0),0)</f>
        <v>3969.21</v>
      </c>
      <c r="AK89" s="258">
        <f>IFERROR(VLOOKUP(A89,CFR20212022_BenchMarkDataReport!$B$4:$CL$90,55,0),0)</f>
        <v>219299.02</v>
      </c>
      <c r="AL89" s="258">
        <f>IFERROR(VLOOKUP(A89,CFR20212022_BenchMarkDataReport!$B$4:$CL$90,56,0),0)</f>
        <v>36442</v>
      </c>
      <c r="AM89" s="258">
        <f>IFERROR(VLOOKUP(A89,CFR20212022_BenchMarkDataReport!$B$4:$CL$90,57,0),0)</f>
        <v>44743.03</v>
      </c>
      <c r="AN89" s="258">
        <f>IFERROR(VLOOKUP(A89,CFR20212022_BenchMarkDataReport!$B$4:$CL$90,58,0),0)</f>
        <v>211913.65</v>
      </c>
      <c r="AO89" s="258">
        <f>IFERROR(VLOOKUP(A89,CFR20212022_BenchMarkDataReport!$B$4:$CL$90,59,0),0)</f>
        <v>95702.77</v>
      </c>
      <c r="AP89" s="258">
        <f>IFERROR(VLOOKUP(A89,CFR20212022_BenchMarkDataReport!$B$4:$CL$90,60,0),0)</f>
        <v>103150.73</v>
      </c>
      <c r="AQ89" s="258">
        <f>IFERROR(VLOOKUP(A89,CFR20212022_BenchMarkDataReport!$B$4:$CL$90,61,0),0)</f>
        <v>105292.06</v>
      </c>
      <c r="AR89" s="258">
        <f>IFERROR(VLOOKUP(A89,CFR20212022_BenchMarkDataReport!$B$4:$CL$90,62,0),0)</f>
        <v>45458.11</v>
      </c>
      <c r="AS89" s="258">
        <f>IFERROR(VLOOKUP(A89,CFR20212022_BenchMarkDataReport!$B$4:$CL$90,63,0),0)</f>
        <v>0</v>
      </c>
      <c r="AT89" s="258">
        <f>IFERROR(VLOOKUP(A89,CFR20212022_BenchMarkDataReport!$B$4:$CL$90,64,0),0)</f>
        <v>115960.58</v>
      </c>
      <c r="AU89" s="258">
        <f>IFERROR(VLOOKUP(A89,CFR20212022_BenchMarkDataReport!$B$4:$CL$90,65,0),0)</f>
        <v>83485.83</v>
      </c>
      <c r="AV89" s="258">
        <f>IFERROR(VLOOKUP(A89,CFR20212022_BenchMarkDataReport!$B$4:$CL$90,66,0),0)</f>
        <v>377275.35</v>
      </c>
      <c r="AW89" s="258">
        <f>IFERROR(VLOOKUP(A89,CFR20212022_BenchMarkDataReport!$B$4:$CL$90,67,0),0)</f>
        <v>106141.94</v>
      </c>
      <c r="AX89" s="258">
        <f>IFERROR(VLOOKUP(A89,CFR20212022_BenchMarkDataReport!$B$4:$CL$90,68,0),0)</f>
        <v>0</v>
      </c>
      <c r="AY89" s="258">
        <f>IFERROR(VLOOKUP(A89,CFR20212022_BenchMarkDataReport!$B$4:$CL$90,69,0),0)</f>
        <v>0</v>
      </c>
      <c r="AZ89" s="258">
        <f>IFERROR(VLOOKUP(A89,CFR20212022_BenchMarkDataReport!$B$4:$CL$90,70,0),0)</f>
        <v>6800</v>
      </c>
      <c r="BA89" s="258">
        <f>IFERROR(VLOOKUP(A89,CFR20212022_BenchMarkDataReport!$B$4:$CL$90,71,0),0)</f>
        <v>0</v>
      </c>
      <c r="BB89" s="258">
        <f>IFERROR(VLOOKUP(A89,CFR20212022_BenchMarkDataReport!$B$4:$CL$90,72,0),0)</f>
        <v>0</v>
      </c>
      <c r="BC89" s="259">
        <f t="shared" si="239"/>
        <v>8677956.8399999999</v>
      </c>
      <c r="BD89" s="260">
        <f t="shared" si="240"/>
        <v>8449669.1799999997</v>
      </c>
      <c r="BE89" s="296">
        <f t="shared" si="241"/>
        <v>228287.66000000015</v>
      </c>
      <c r="BF89" s="258">
        <f>IFERROR(VLOOKUP(A89,CFR20212022_BenchMarkDataReport!$B$4:$CL$90,16,0),0)</f>
        <v>46808.56</v>
      </c>
      <c r="BG89" s="296">
        <f t="shared" si="242"/>
        <v>275096.22000000015</v>
      </c>
      <c r="BH89" s="261">
        <f>IFERROR(VLOOKUP(A89,'Pupil Nos BenchmarkData 21-22'!$A$6:$E$94,5,0),0)</f>
        <v>1283</v>
      </c>
      <c r="BI89" s="260">
        <f t="shared" si="153"/>
        <v>8102811.29</v>
      </c>
      <c r="BJ89" s="227" t="s">
        <v>185</v>
      </c>
      <c r="BK89" s="262">
        <f t="shared" si="243"/>
        <v>0.76274988595126503</v>
      </c>
      <c r="BL89" s="263">
        <f t="shared" si="244"/>
        <v>5159.0885346843334</v>
      </c>
      <c r="BM89" s="264">
        <f t="shared" si="245"/>
        <v>0.1226922453788097</v>
      </c>
      <c r="BN89" s="265">
        <f t="shared" si="246"/>
        <v>829.86594699922057</v>
      </c>
      <c r="BO89" s="262">
        <f t="shared" si="247"/>
        <v>4.8281259946897824E-2</v>
      </c>
      <c r="BP89" s="263">
        <f t="shared" si="248"/>
        <v>326.56484021823849</v>
      </c>
      <c r="BQ89" s="264">
        <f t="shared" si="249"/>
        <v>0</v>
      </c>
      <c r="BR89" s="265">
        <f t="shared" si="250"/>
        <v>0</v>
      </c>
      <c r="BS89" s="262">
        <f t="shared" si="251"/>
        <v>3.3931377561449136E-2</v>
      </c>
      <c r="BT89" s="263">
        <f t="shared" si="252"/>
        <v>229.5050896336711</v>
      </c>
      <c r="BU89" s="264">
        <f t="shared" si="253"/>
        <v>0</v>
      </c>
      <c r="BV89" s="265">
        <f t="shared" si="254"/>
        <v>0</v>
      </c>
      <c r="BW89" s="262">
        <f t="shared" si="255"/>
        <v>0</v>
      </c>
      <c r="BX89" s="263">
        <f t="shared" si="256"/>
        <v>0</v>
      </c>
      <c r="BY89" s="264">
        <f t="shared" si="257"/>
        <v>1.1809231353586682E-5</v>
      </c>
      <c r="BZ89" s="266">
        <f t="shared" si="258"/>
        <v>7.9875292283710056E-2</v>
      </c>
      <c r="CA89" s="267">
        <f t="shared" si="259"/>
        <v>9.9511119486047142E-3</v>
      </c>
      <c r="CB89" s="268">
        <f t="shared" si="260"/>
        <v>67.307342166796573</v>
      </c>
      <c r="CC89" s="264">
        <f t="shared" si="261"/>
        <v>4.6343616062510867E-3</v>
      </c>
      <c r="CD89" s="265">
        <f t="shared" si="262"/>
        <v>31.345900233826967</v>
      </c>
      <c r="CE89" s="269">
        <f t="shared" si="263"/>
        <v>0.61574295530705858</v>
      </c>
      <c r="CF89" s="267">
        <f t="shared" si="264"/>
        <v>0.57493360038421204</v>
      </c>
      <c r="CG89" s="267">
        <f t="shared" si="265"/>
        <v>0.59046678203796854</v>
      </c>
      <c r="CH89" s="268">
        <f t="shared" si="266"/>
        <v>3888.7365315666407</v>
      </c>
      <c r="CI89" s="264">
        <f t="shared" si="267"/>
        <v>0.11012385184155017</v>
      </c>
      <c r="CJ89" s="270">
        <f t="shared" si="268"/>
        <v>0.1028252164019751</v>
      </c>
      <c r="CK89" s="270">
        <f t="shared" si="269"/>
        <v>0.10560328114526255</v>
      </c>
      <c r="CL89" s="271">
        <f t="shared" si="270"/>
        <v>695.4893141075604</v>
      </c>
      <c r="CM89" s="269">
        <f t="shared" si="270"/>
        <v>1.6257846232032882E-2</v>
      </c>
      <c r="CN89" s="267">
        <f t="shared" si="271"/>
        <v>1.5180331318633293E-2</v>
      </c>
      <c r="CO89" s="267">
        <f t="shared" si="272"/>
        <v>1.559046362570138E-2</v>
      </c>
      <c r="CP89" s="268">
        <f t="shared" si="273"/>
        <v>102.67674201091194</v>
      </c>
      <c r="CQ89" s="264">
        <f t="shared" si="273"/>
        <v>5.6164301957968961E-2</v>
      </c>
      <c r="CR89" s="270">
        <f t="shared" si="274"/>
        <v>5.2441922492898682E-2</v>
      </c>
      <c r="CS89" s="270">
        <f t="shared" si="275"/>
        <v>5.3858764207855056E-2</v>
      </c>
      <c r="CT89" s="265">
        <f t="shared" si="276"/>
        <v>354.70673421667965</v>
      </c>
      <c r="CU89" s="269">
        <f t="shared" si="277"/>
        <v>0.79442566038089235</v>
      </c>
      <c r="CV89" s="267">
        <f t="shared" si="278"/>
        <v>0.7417738217282952</v>
      </c>
      <c r="CW89" s="267">
        <f t="shared" si="279"/>
        <v>0.76181458384622824</v>
      </c>
      <c r="CX89" s="268">
        <f t="shared" si="280"/>
        <v>5017.2106079501173</v>
      </c>
      <c r="CY89" s="264">
        <f t="shared" si="281"/>
        <v>1.6057663858045988E-2</v>
      </c>
      <c r="CZ89" s="270">
        <f t="shared" si="282"/>
        <v>1.5398498713768579E-2</v>
      </c>
      <c r="DA89" s="265">
        <f t="shared" si="283"/>
        <v>101.41248636009354</v>
      </c>
      <c r="DB89" s="269">
        <f t="shared" si="284"/>
        <v>4.6974738483193494E-4</v>
      </c>
      <c r="DC89" s="268">
        <f t="shared" si="285"/>
        <v>3.0936944660950898</v>
      </c>
      <c r="DD89" s="264">
        <f t="shared" si="285"/>
        <v>2.7064559712830234E-2</v>
      </c>
      <c r="DE89" s="270">
        <f t="shared" si="286"/>
        <v>2.5953562835225697E-2</v>
      </c>
      <c r="DF89" s="265">
        <f t="shared" si="287"/>
        <v>170.9267498051442</v>
      </c>
      <c r="DG89" s="269">
        <f t="shared" si="288"/>
        <v>5.5219143577018934E-3</v>
      </c>
      <c r="DH89" s="267">
        <f t="shared" si="289"/>
        <v>5.2952404463247876E-3</v>
      </c>
      <c r="DI89" s="272">
        <f t="shared" si="290"/>
        <v>34.873756819953236</v>
      </c>
      <c r="DJ89" s="264">
        <f t="shared" si="290"/>
        <v>2.6153101980979244E-2</v>
      </c>
      <c r="DK89" s="270">
        <f t="shared" si="291"/>
        <v>2.4419763074092448E-2</v>
      </c>
      <c r="DL89" s="270">
        <f t="shared" si="292"/>
        <v>2.5079520332179445E-2</v>
      </c>
      <c r="DM89" s="265">
        <f t="shared" si="293"/>
        <v>165.17042088854248</v>
      </c>
      <c r="DN89" s="269">
        <f t="shared" si="294"/>
        <v>1.2994509711702788E-2</v>
      </c>
      <c r="DO89" s="267">
        <f t="shared" si="295"/>
        <v>1.2461086671797961E-2</v>
      </c>
      <c r="DP89" s="268">
        <f t="shared" si="296"/>
        <v>82.067077162899452</v>
      </c>
      <c r="DQ89" s="264">
        <f t="shared" si="297"/>
        <v>4.6561043630080637E-2</v>
      </c>
      <c r="DR89" s="270">
        <f t="shared" si="298"/>
        <v>4.4649718463889022E-2</v>
      </c>
      <c r="DS89" s="265">
        <f t="shared" si="299"/>
        <v>294.05717069368666</v>
      </c>
      <c r="DT89" s="269">
        <f t="shared" si="300"/>
        <v>1.3723682848373954E-2</v>
      </c>
      <c r="DU89" s="268">
        <f t="shared" si="301"/>
        <v>90.382369446609516</v>
      </c>
      <c r="DV89" s="264">
        <f t="shared" si="157"/>
        <v>1.8333219526116409E-2</v>
      </c>
      <c r="DW89" s="265">
        <f t="shared" si="158"/>
        <v>120.74017147310991</v>
      </c>
      <c r="DX89" s="264">
        <f t="shared" si="302"/>
        <v>3.1347144948750251E-5</v>
      </c>
      <c r="DY89" s="270">
        <f t="shared" si="303"/>
        <v>2.9269562488397904E-5</v>
      </c>
      <c r="DZ89" s="270">
        <f t="shared" si="304"/>
        <v>3.0060348469169299E-5</v>
      </c>
      <c r="EA89" s="265">
        <f t="shared" si="305"/>
        <v>0.1979734996102884</v>
      </c>
      <c r="EB89" s="273">
        <f>IFERROR(VLOOKUP(A89,'BARNET SCHS PUPIL PREMIUM Nos'!$E$31:$V$117,17,0),0)</f>
        <v>254</v>
      </c>
      <c r="EC89" s="258">
        <f>IFERROR(VLOOKUP(A89,CFR20212022_BenchMarkDataReport!$B$4:$CL$90,36,0),0)</f>
        <v>18316.560000000001</v>
      </c>
      <c r="ED89" s="258">
        <f>IFERROR(VLOOKUP(A89,CFR20212022_BenchMarkDataReport!$B$4:$CL$90,37,0),0)</f>
        <v>0</v>
      </c>
      <c r="EE89" s="258">
        <f>IFERROR(VLOOKUP(A89,CFR20212022_BenchMarkDataReport!$B$4:$CL$90,38,0),0)</f>
        <v>34030</v>
      </c>
      <c r="EF89" s="258">
        <f>IFERROR(VLOOKUP(A89,CFR20212022_BenchMarkDataReport!$B$4:$CL$90,39,0),0)</f>
        <v>101669.37</v>
      </c>
      <c r="EG89" s="227"/>
    </row>
    <row r="90" spans="1:230" s="5" customFormat="1">
      <c r="A90" s="293">
        <v>5404</v>
      </c>
      <c r="B90" s="294">
        <v>10148</v>
      </c>
      <c r="C90" s="293" t="s">
        <v>116</v>
      </c>
      <c r="D90" s="258">
        <f>IFERROR(VLOOKUP(A90,CFR20212022_BenchMarkDataReport!$B$4:$CL$90,19,0),0)</f>
        <v>3451066</v>
      </c>
      <c r="E90" s="258">
        <f>IFERROR(VLOOKUP(A90,CFR20212022_BenchMarkDataReport!$B$4:$CL$90,20,0),0)</f>
        <v>1397084</v>
      </c>
      <c r="F90" s="258">
        <f>IFERROR(VLOOKUP(A90,CFR20212022_BenchMarkDataReport!$B$4:$CL$90,21,0),0)</f>
        <v>1762</v>
      </c>
      <c r="G90" s="258">
        <f>IFERROR(VLOOKUP(A90,CFR20212022_BenchMarkDataReport!$B$4:$CL$90,22,0),0)</f>
        <v>0</v>
      </c>
      <c r="H90" s="258">
        <f>IFERROR(VLOOKUP(A90,CFR20212022_BenchMarkDataReport!$B$4:$CL$90,23,0),0)</f>
        <v>42020</v>
      </c>
      <c r="I90" s="258">
        <f>IFERROR(VLOOKUP(A90,CFR20212022_BenchMarkDataReport!$B$4:$CL$90,24,0),0)</f>
        <v>7458</v>
      </c>
      <c r="J90" s="258">
        <f>IFERROR(VLOOKUP(A90,CFR20212022_BenchMarkDataReport!$B$4:$CL$90,25,0),0)</f>
        <v>0</v>
      </c>
      <c r="K90" s="258">
        <f>IFERROR(VLOOKUP(A90,CFR20212022_BenchMarkDataReport!$B$4:$CL$90,26,0),0)</f>
        <v>0</v>
      </c>
      <c r="L90" s="258">
        <f>IFERROR(VLOOKUP(A90,CFR20212022_BenchMarkDataReport!$B$4:$CL$90,27,0),0)</f>
        <v>14982.84</v>
      </c>
      <c r="M90" s="258">
        <f>IFERROR(VLOOKUP(A90,CFR20212022_BenchMarkDataReport!$B$4:$CL$90,28,0),0)</f>
        <v>140861</v>
      </c>
      <c r="N90" s="258">
        <f>IFERROR(VLOOKUP(A90,CFR20212022_BenchMarkDataReport!$B$4:$CL$90,29,0),0)</f>
        <v>0</v>
      </c>
      <c r="O90" s="258">
        <f>IFERROR(VLOOKUP(A90,CFR20212022_BenchMarkDataReport!$B$4:$CL$90,30,0),0)</f>
        <v>0</v>
      </c>
      <c r="P90" s="258">
        <f>IFERROR(VLOOKUP(A90,CFR20212022_BenchMarkDataReport!$B$4:$CL$90,31,0),0)</f>
        <v>19557</v>
      </c>
      <c r="Q90" s="258">
        <f>IFERROR(VLOOKUP(A90,CFR20212022_BenchMarkDataReport!$B$4:$CL$90,32,0),0)</f>
        <v>138912.64000000001</v>
      </c>
      <c r="R90" s="258">
        <f>IFERROR(VLOOKUP(A90,CFR20212022_BenchMarkDataReport!$B$4:$CL$90,33,0),0)</f>
        <v>0</v>
      </c>
      <c r="S90" s="258">
        <f>IFERROR(VLOOKUP(A90,CFR20212022_BenchMarkDataReport!$B$4:$CL$90,34,0),0)</f>
        <v>0</v>
      </c>
      <c r="T90" s="258">
        <f>IFERROR(VLOOKUP(A90,CFR20212022_BenchMarkDataReport!$B$4:$CL$90,35,0),0)</f>
        <v>0</v>
      </c>
      <c r="U90" s="258">
        <f t="shared" si="152"/>
        <v>92957.81</v>
      </c>
      <c r="V90" s="258">
        <f>IFERROR(VLOOKUP(A90,CFR20212022_BenchMarkDataReport!$B$4:$CL$90,40,0),0)</f>
        <v>3272558</v>
      </c>
      <c r="W90" s="258">
        <f>IFERROR(VLOOKUP(A90,CFR20212022_BenchMarkDataReport!$B$4:$CL$90,41,0),0)</f>
        <v>0</v>
      </c>
      <c r="X90" s="258">
        <f>IFERROR(VLOOKUP(A90,CFR20212022_BenchMarkDataReport!$B$4:$CL$90,42,0),0)</f>
        <v>246200</v>
      </c>
      <c r="Y90" s="258">
        <f>IFERROR(VLOOKUP(A90,CFR20212022_BenchMarkDataReport!$B$4:$CL$90,43,0),0)</f>
        <v>82952</v>
      </c>
      <c r="Z90" s="258">
        <f>IFERROR(VLOOKUP(A90,CFR20212022_BenchMarkDataReport!$B$4:$CL$90,44,0),0)</f>
        <v>347327</v>
      </c>
      <c r="AA90" s="258">
        <f>IFERROR(VLOOKUP(A90,CFR20212022_BenchMarkDataReport!$B$4:$CL$90,45,0),0)</f>
        <v>54603</v>
      </c>
      <c r="AB90" s="258">
        <f>IFERROR(VLOOKUP(A90,CFR20212022_BenchMarkDataReport!$B$4:$CL$90,46,0),0)</f>
        <v>9687</v>
      </c>
      <c r="AC90" s="258">
        <f>IFERROR(VLOOKUP(A90,CFR20212022_BenchMarkDataReport!$B$4:$CL$90,47,0),0)</f>
        <v>28511</v>
      </c>
      <c r="AD90" s="258">
        <f>IFERROR(VLOOKUP(A90,CFR20212022_BenchMarkDataReport!$B$4:$CL$90,48,0),0)</f>
        <v>12793</v>
      </c>
      <c r="AE90" s="258">
        <f>IFERROR(VLOOKUP(A90,CFR20212022_BenchMarkDataReport!$B$4:$CL$90,49,0),0)</f>
        <v>824</v>
      </c>
      <c r="AF90" s="258">
        <f>IFERROR(VLOOKUP(A90,CFR20212022_BenchMarkDataReport!$B$4:$CL$90,50,0),0)</f>
        <v>0</v>
      </c>
      <c r="AG90" s="258">
        <f>IFERROR(VLOOKUP(A90,CFR20212022_BenchMarkDataReport!$B$4:$CL$90,51,0),0)</f>
        <v>95929</v>
      </c>
      <c r="AH90" s="258">
        <f>IFERROR(VLOOKUP(A90,CFR20212022_BenchMarkDataReport!$B$4:$CL$90,52,0),0)</f>
        <v>4812</v>
      </c>
      <c r="AI90" s="258">
        <f>IFERROR(VLOOKUP(A90,CFR20212022_BenchMarkDataReport!$B$4:$CL$90,53,0),0)</f>
        <v>74968</v>
      </c>
      <c r="AJ90" s="258">
        <f>IFERROR(VLOOKUP(A90,CFR20212022_BenchMarkDataReport!$B$4:$CL$90,54,0),0)</f>
        <v>27339</v>
      </c>
      <c r="AK90" s="258">
        <f>IFERROR(VLOOKUP(A90,CFR20212022_BenchMarkDataReport!$B$4:$CL$90,55,0),0)</f>
        <v>50607</v>
      </c>
      <c r="AL90" s="258">
        <f>IFERROR(VLOOKUP(A90,CFR20212022_BenchMarkDataReport!$B$4:$CL$90,56,0),0)</f>
        <v>17130</v>
      </c>
      <c r="AM90" s="258">
        <f>IFERROR(VLOOKUP(A90,CFR20212022_BenchMarkDataReport!$B$4:$CL$90,57,0),0)</f>
        <v>47120</v>
      </c>
      <c r="AN90" s="258">
        <f>IFERROR(VLOOKUP(A90,CFR20212022_BenchMarkDataReport!$B$4:$CL$90,58,0),0)</f>
        <v>139829</v>
      </c>
      <c r="AO90" s="258">
        <f>IFERROR(VLOOKUP(A90,CFR20212022_BenchMarkDataReport!$B$4:$CL$90,59,0),0)</f>
        <v>24428</v>
      </c>
      <c r="AP90" s="258">
        <f>IFERROR(VLOOKUP(A90,CFR20212022_BenchMarkDataReport!$B$4:$CL$90,60,0),0)</f>
        <v>122694</v>
      </c>
      <c r="AQ90" s="258">
        <f>IFERROR(VLOOKUP(A90,CFR20212022_BenchMarkDataReport!$B$4:$CL$90,61,0),0)</f>
        <v>37977</v>
      </c>
      <c r="AR90" s="258">
        <f>IFERROR(VLOOKUP(A90,CFR20212022_BenchMarkDataReport!$B$4:$CL$90,62,0),0)</f>
        <v>21462</v>
      </c>
      <c r="AS90" s="258">
        <f>IFERROR(VLOOKUP(A90,CFR20212022_BenchMarkDataReport!$B$4:$CL$90,63,0),0)</f>
        <v>334</v>
      </c>
      <c r="AT90" s="258">
        <f>IFERROR(VLOOKUP(A90,CFR20212022_BenchMarkDataReport!$B$4:$CL$90,64,0),0)</f>
        <v>69475</v>
      </c>
      <c r="AU90" s="258">
        <f>IFERROR(VLOOKUP(A90,CFR20212022_BenchMarkDataReport!$B$4:$CL$90,65,0),0)</f>
        <v>1902</v>
      </c>
      <c r="AV90" s="258">
        <f>IFERROR(VLOOKUP(A90,CFR20212022_BenchMarkDataReport!$B$4:$CL$90,66,0),0)</f>
        <v>71087</v>
      </c>
      <c r="AW90" s="258">
        <f>IFERROR(VLOOKUP(A90,CFR20212022_BenchMarkDataReport!$B$4:$CL$90,67,0),0)</f>
        <v>99218</v>
      </c>
      <c r="AX90" s="258">
        <f>IFERROR(VLOOKUP(A90,CFR20212022_BenchMarkDataReport!$B$4:$CL$90,68,0),0)</f>
        <v>0</v>
      </c>
      <c r="AY90" s="258">
        <f>IFERROR(VLOOKUP(A90,CFR20212022_BenchMarkDataReport!$B$4:$CL$90,69,0),0)</f>
        <v>0</v>
      </c>
      <c r="AZ90" s="258">
        <f>IFERROR(VLOOKUP(A90,CFR20212022_BenchMarkDataReport!$B$4:$CL$90,70,0),0)</f>
        <v>4443</v>
      </c>
      <c r="BA90" s="258">
        <f>IFERROR(VLOOKUP(A90,CFR20212022_BenchMarkDataReport!$B$4:$CL$90,71,0),0)</f>
        <v>0</v>
      </c>
      <c r="BB90" s="258">
        <f>IFERROR(VLOOKUP(A90,CFR20212022_BenchMarkDataReport!$B$4:$CL$90,72,0),0)</f>
        <v>0</v>
      </c>
      <c r="BC90" s="259">
        <f t="shared" si="239"/>
        <v>5306661.2899999991</v>
      </c>
      <c r="BD90" s="260">
        <f t="shared" si="240"/>
        <v>4966209</v>
      </c>
      <c r="BE90" s="296">
        <f t="shared" si="241"/>
        <v>340452.28999999911</v>
      </c>
      <c r="BF90" s="258">
        <f>IFERROR(VLOOKUP(A90,CFR20212022_BenchMarkDataReport!$B$4:$CL$90,16,0),0)</f>
        <v>73335.199999999997</v>
      </c>
      <c r="BG90" s="296">
        <f t="shared" si="242"/>
        <v>413787.48999999912</v>
      </c>
      <c r="BH90" s="261">
        <f>IFERROR(VLOOKUP(A90,'Pupil Nos BenchmarkData 21-22'!$A$6:$E$94,5,0),0)</f>
        <v>857</v>
      </c>
      <c r="BI90" s="260">
        <f t="shared" si="153"/>
        <v>4849912</v>
      </c>
      <c r="BJ90" s="227" t="s">
        <v>185</v>
      </c>
      <c r="BK90" s="262">
        <f t="shared" si="243"/>
        <v>0.65032716644329125</v>
      </c>
      <c r="BL90" s="263">
        <f t="shared" si="244"/>
        <v>4026.914819136523</v>
      </c>
      <c r="BM90" s="264">
        <f t="shared" si="245"/>
        <v>0.26326986473259539</v>
      </c>
      <c r="BN90" s="265">
        <f t="shared" si="246"/>
        <v>1630.2030338389732</v>
      </c>
      <c r="BO90" s="262">
        <f t="shared" si="247"/>
        <v>3.3203551229477475E-4</v>
      </c>
      <c r="BP90" s="263">
        <f t="shared" si="248"/>
        <v>2.0560093348891484</v>
      </c>
      <c r="BQ90" s="264">
        <f t="shared" si="249"/>
        <v>0</v>
      </c>
      <c r="BR90" s="265">
        <f t="shared" si="250"/>
        <v>0</v>
      </c>
      <c r="BS90" s="262">
        <f t="shared" si="251"/>
        <v>7.9183497313430398E-3</v>
      </c>
      <c r="BT90" s="263">
        <f t="shared" si="252"/>
        <v>49.031505250875149</v>
      </c>
      <c r="BU90" s="264">
        <f t="shared" si="253"/>
        <v>1.4054034339922986E-3</v>
      </c>
      <c r="BV90" s="265">
        <f t="shared" si="254"/>
        <v>8.7024504084014005</v>
      </c>
      <c r="BW90" s="262">
        <f t="shared" si="255"/>
        <v>0</v>
      </c>
      <c r="BX90" s="263">
        <f t="shared" si="256"/>
        <v>0</v>
      </c>
      <c r="BY90" s="264">
        <f t="shared" si="257"/>
        <v>2.8234023581331685E-3</v>
      </c>
      <c r="BZ90" s="266">
        <f t="shared" si="258"/>
        <v>17.48289381563594</v>
      </c>
      <c r="CA90" s="267">
        <f t="shared" si="259"/>
        <v>3.6853680555896198E-3</v>
      </c>
      <c r="CB90" s="268">
        <f t="shared" si="260"/>
        <v>22.820303383897315</v>
      </c>
      <c r="CC90" s="264">
        <f t="shared" si="261"/>
        <v>2.6177031547457222E-2</v>
      </c>
      <c r="CD90" s="265">
        <f t="shared" si="262"/>
        <v>162.09176196032675</v>
      </c>
      <c r="CE90" s="269">
        <f t="shared" si="263"/>
        <v>0.67515864205371146</v>
      </c>
      <c r="CF90" s="267">
        <f t="shared" si="264"/>
        <v>0.61704710759860848</v>
      </c>
      <c r="CG90" s="267">
        <f t="shared" si="265"/>
        <v>0.65934800569206808</v>
      </c>
      <c r="CH90" s="268">
        <f t="shared" si="266"/>
        <v>3820.8401400233374</v>
      </c>
      <c r="CI90" s="264">
        <f t="shared" si="267"/>
        <v>5.076380767321139E-2</v>
      </c>
      <c r="CJ90" s="270">
        <f t="shared" si="268"/>
        <v>4.6394519368316428E-2</v>
      </c>
      <c r="CK90" s="270">
        <f t="shared" si="269"/>
        <v>4.9575038021960012E-2</v>
      </c>
      <c r="CL90" s="271">
        <f t="shared" si="270"/>
        <v>287.28121353558925</v>
      </c>
      <c r="CM90" s="269">
        <f t="shared" si="270"/>
        <v>1.7103815491909955E-2</v>
      </c>
      <c r="CN90" s="267">
        <f t="shared" si="271"/>
        <v>1.5631674129328126E-2</v>
      </c>
      <c r="CO90" s="267">
        <f t="shared" si="272"/>
        <v>1.6703284134840075E-2</v>
      </c>
      <c r="CP90" s="268">
        <f t="shared" si="273"/>
        <v>96.793465577596265</v>
      </c>
      <c r="CQ90" s="264">
        <f t="shared" si="273"/>
        <v>7.1615113841240835E-2</v>
      </c>
      <c r="CR90" s="270">
        <f t="shared" si="274"/>
        <v>6.5451134153693094E-2</v>
      </c>
      <c r="CS90" s="270">
        <f t="shared" si="275"/>
        <v>6.9938055365772966E-2</v>
      </c>
      <c r="CT90" s="265">
        <f t="shared" si="276"/>
        <v>405.28238039673278</v>
      </c>
      <c r="CU90" s="269">
        <f t="shared" si="277"/>
        <v>0.82750511761862899</v>
      </c>
      <c r="CV90" s="267">
        <f t="shared" si="278"/>
        <v>0.7562809798248874</v>
      </c>
      <c r="CW90" s="267">
        <f t="shared" si="279"/>
        <v>0.8081268831013757</v>
      </c>
      <c r="CX90" s="268">
        <f t="shared" si="280"/>
        <v>4682.9953325554261</v>
      </c>
      <c r="CY90" s="264">
        <f t="shared" si="281"/>
        <v>1.9779534144124675E-2</v>
      </c>
      <c r="CZ90" s="270">
        <f t="shared" si="282"/>
        <v>1.9316343714088552E-2</v>
      </c>
      <c r="DA90" s="265">
        <f t="shared" si="283"/>
        <v>111.93582263710618</v>
      </c>
      <c r="DB90" s="269">
        <f t="shared" si="284"/>
        <v>5.5050039174750799E-3</v>
      </c>
      <c r="DC90" s="268">
        <f t="shared" si="285"/>
        <v>31.900816802800467</v>
      </c>
      <c r="DD90" s="264">
        <f t="shared" si="285"/>
        <v>1.0434622318920426E-2</v>
      </c>
      <c r="DE90" s="270">
        <f t="shared" si="286"/>
        <v>1.0190267868307597E-2</v>
      </c>
      <c r="DF90" s="265">
        <f t="shared" si="287"/>
        <v>59.051341890315051</v>
      </c>
      <c r="DG90" s="269">
        <f t="shared" si="288"/>
        <v>9.7156402013067449E-3</v>
      </c>
      <c r="DH90" s="267">
        <f t="shared" si="289"/>
        <v>9.4881226303605015E-3</v>
      </c>
      <c r="DI90" s="272">
        <f t="shared" si="290"/>
        <v>54.982497082847139</v>
      </c>
      <c r="DJ90" s="264">
        <f t="shared" si="290"/>
        <v>2.8831244773101037E-2</v>
      </c>
      <c r="DK90" s="270">
        <f t="shared" si="291"/>
        <v>2.6349712626938741E-2</v>
      </c>
      <c r="DL90" s="270">
        <f t="shared" si="292"/>
        <v>2.8156084449929515E-2</v>
      </c>
      <c r="DM90" s="265">
        <f t="shared" si="293"/>
        <v>163.1610268378063</v>
      </c>
      <c r="DN90" s="269">
        <f t="shared" si="294"/>
        <v>7.830451356643172E-3</v>
      </c>
      <c r="DO90" s="267">
        <f t="shared" si="295"/>
        <v>7.6470804994312564E-3</v>
      </c>
      <c r="DP90" s="268">
        <f t="shared" si="296"/>
        <v>44.313885647607933</v>
      </c>
      <c r="DQ90" s="264">
        <f t="shared" si="297"/>
        <v>1.4657379350388213E-2</v>
      </c>
      <c r="DR90" s="270">
        <f t="shared" si="298"/>
        <v>1.4314137806121329E-2</v>
      </c>
      <c r="DS90" s="265">
        <f t="shared" si="299"/>
        <v>82.948658109684942</v>
      </c>
      <c r="DT90" s="269">
        <f t="shared" si="300"/>
        <v>1.3989544137187943E-2</v>
      </c>
      <c r="DU90" s="268">
        <f t="shared" si="301"/>
        <v>81.06767794632438</v>
      </c>
      <c r="DV90" s="264">
        <f t="shared" si="157"/>
        <v>1.5095619213770504E-2</v>
      </c>
      <c r="DW90" s="265">
        <f t="shared" si="158"/>
        <v>87.477246207701285</v>
      </c>
      <c r="DX90" s="264">
        <f t="shared" si="302"/>
        <v>9.0723295597940753E-6</v>
      </c>
      <c r="DY90" s="270">
        <f t="shared" si="303"/>
        <v>8.2914656872701983E-6</v>
      </c>
      <c r="DZ90" s="270">
        <f t="shared" si="304"/>
        <v>8.8598768195216922E-6</v>
      </c>
      <c r="EA90" s="265">
        <f t="shared" si="305"/>
        <v>5.1341890315052506E-2</v>
      </c>
      <c r="EB90" s="273">
        <f>IFERROR(VLOOKUP(A90,'BARNET SCHS PUPIL PREMIUM Nos'!$E$31:$V$117,17,0),0)</f>
        <v>44</v>
      </c>
      <c r="EC90" s="258">
        <f>IFERROR(VLOOKUP(A90,CFR20212022_BenchMarkDataReport!$B$4:$CL$90,36,0),0)</f>
        <v>21250</v>
      </c>
      <c r="ED90" s="258">
        <f>IFERROR(VLOOKUP(A90,CFR20212022_BenchMarkDataReport!$B$4:$CL$90,37,0),0)</f>
        <v>31790</v>
      </c>
      <c r="EE90" s="258">
        <f>IFERROR(VLOOKUP(A90,CFR20212022_BenchMarkDataReport!$B$4:$CL$90,38,0),0)</f>
        <v>29050.76</v>
      </c>
      <c r="EF90" s="258">
        <f>IFERROR(VLOOKUP(A90,CFR20212022_BenchMarkDataReport!$B$4:$CL$90,39,0),0)</f>
        <v>10867.05</v>
      </c>
      <c r="EG90" s="227"/>
    </row>
    <row r="91" spans="1:230" s="41" customFormat="1" ht="16.5" thickBot="1">
      <c r="A91" s="276">
        <v>6999</v>
      </c>
      <c r="B91" s="277"/>
      <c r="C91" s="278" t="s">
        <v>186</v>
      </c>
      <c r="D91" s="279">
        <f>AVERAGE(D85:D90)</f>
        <v>4853812.958333333</v>
      </c>
      <c r="E91" s="279">
        <f t="shared" ref="E91:BB91" si="306">AVERAGE(E85:E90)</f>
        <v>1020206.0066666667</v>
      </c>
      <c r="F91" s="279">
        <f t="shared" si="306"/>
        <v>395422.75499999995</v>
      </c>
      <c r="G91" s="279">
        <f t="shared" si="306"/>
        <v>0</v>
      </c>
      <c r="H91" s="279">
        <f t="shared" si="306"/>
        <v>143257.73500000002</v>
      </c>
      <c r="I91" s="279">
        <f t="shared" si="306"/>
        <v>102481.44166666667</v>
      </c>
      <c r="J91" s="279">
        <f t="shared" si="306"/>
        <v>1111.6666666666667</v>
      </c>
      <c r="K91" s="279">
        <f t="shared" si="306"/>
        <v>4985.086666666667</v>
      </c>
      <c r="L91" s="279">
        <f t="shared" si="306"/>
        <v>11988.728333333333</v>
      </c>
      <c r="M91" s="279">
        <f t="shared" si="306"/>
        <v>116769.22500000002</v>
      </c>
      <c r="N91" s="279">
        <f t="shared" si="306"/>
        <v>1503.6666666666667</v>
      </c>
      <c r="O91" s="279">
        <f t="shared" si="306"/>
        <v>3059.5016666666666</v>
      </c>
      <c r="P91" s="279">
        <f t="shared" si="306"/>
        <v>208159.64500000002</v>
      </c>
      <c r="Q91" s="279">
        <f t="shared" si="306"/>
        <v>403775.41500000004</v>
      </c>
      <c r="R91" s="279">
        <f t="shared" si="306"/>
        <v>0</v>
      </c>
      <c r="S91" s="279">
        <f t="shared" si="306"/>
        <v>0</v>
      </c>
      <c r="T91" s="279">
        <f t="shared" si="306"/>
        <v>0</v>
      </c>
      <c r="U91" s="279">
        <f t="shared" si="306"/>
        <v>102944.93666666669</v>
      </c>
      <c r="V91" s="279">
        <f t="shared" si="306"/>
        <v>4183108.7183333337</v>
      </c>
      <c r="W91" s="279">
        <f t="shared" si="306"/>
        <v>14514.241666666667</v>
      </c>
      <c r="X91" s="279">
        <f t="shared" si="306"/>
        <v>768013.24000000011</v>
      </c>
      <c r="Y91" s="279">
        <f t="shared" si="306"/>
        <v>102369.62833333334</v>
      </c>
      <c r="Z91" s="279">
        <f t="shared" si="306"/>
        <v>477756.50666666665</v>
      </c>
      <c r="AA91" s="279">
        <f t="shared" si="306"/>
        <v>36222.9</v>
      </c>
      <c r="AB91" s="279">
        <f t="shared" si="306"/>
        <v>32402.99</v>
      </c>
      <c r="AC91" s="279">
        <f t="shared" si="306"/>
        <v>61530.96</v>
      </c>
      <c r="AD91" s="279">
        <f t="shared" si="306"/>
        <v>14234.973333333333</v>
      </c>
      <c r="AE91" s="279">
        <f t="shared" si="306"/>
        <v>8970.7766666666666</v>
      </c>
      <c r="AF91" s="279">
        <f t="shared" si="306"/>
        <v>813.60666666666668</v>
      </c>
      <c r="AG91" s="279">
        <f t="shared" si="306"/>
        <v>132655.41833333333</v>
      </c>
      <c r="AH91" s="279">
        <f t="shared" si="306"/>
        <v>14595.62</v>
      </c>
      <c r="AI91" s="279">
        <f t="shared" si="306"/>
        <v>102770.5</v>
      </c>
      <c r="AJ91" s="279">
        <f t="shared" si="306"/>
        <v>12223.885</v>
      </c>
      <c r="AK91" s="279">
        <f t="shared" si="306"/>
        <v>117023.96166666667</v>
      </c>
      <c r="AL91" s="279">
        <f t="shared" si="306"/>
        <v>34585.213333333333</v>
      </c>
      <c r="AM91" s="279">
        <f t="shared" si="306"/>
        <v>101574.74666666666</v>
      </c>
      <c r="AN91" s="279">
        <f t="shared" si="306"/>
        <v>173079.51833333334</v>
      </c>
      <c r="AO91" s="279">
        <f t="shared" si="306"/>
        <v>78236.931666666671</v>
      </c>
      <c r="AP91" s="279">
        <f t="shared" si="306"/>
        <v>89137.324999999997</v>
      </c>
      <c r="AQ91" s="279">
        <f t="shared" si="306"/>
        <v>47062.864999999998</v>
      </c>
      <c r="AR91" s="279">
        <f t="shared" si="306"/>
        <v>37397.498333333329</v>
      </c>
      <c r="AS91" s="279">
        <f t="shared" si="306"/>
        <v>55.666666666666664</v>
      </c>
      <c r="AT91" s="279">
        <f t="shared" si="306"/>
        <v>107685.36833333333</v>
      </c>
      <c r="AU91" s="279">
        <f t="shared" si="306"/>
        <v>81493.853333333333</v>
      </c>
      <c r="AV91" s="279">
        <f t="shared" si="306"/>
        <v>213916.42499999996</v>
      </c>
      <c r="AW91" s="279">
        <f t="shared" si="306"/>
        <v>182264.99666666667</v>
      </c>
      <c r="AX91" s="279">
        <f>AVERAGE(AX85:AX90)</f>
        <v>0</v>
      </c>
      <c r="AY91" s="279">
        <f t="shared" si="306"/>
        <v>0</v>
      </c>
      <c r="AZ91" s="279">
        <f t="shared" si="306"/>
        <v>30115.916666666668</v>
      </c>
      <c r="BA91" s="279">
        <f t="shared" si="306"/>
        <v>0</v>
      </c>
      <c r="BB91" s="279">
        <f t="shared" si="306"/>
        <v>0</v>
      </c>
      <c r="BC91" s="279">
        <f t="shared" ref="BC91:BI91" si="307">AVERAGE(BC85:BC90)</f>
        <v>7369478.7683333317</v>
      </c>
      <c r="BD91" s="279">
        <f t="shared" si="307"/>
        <v>7255814.2516666679</v>
      </c>
      <c r="BE91" s="279">
        <f t="shared" si="307"/>
        <v>113664.51666666621</v>
      </c>
      <c r="BF91" s="279">
        <f t="shared" si="307"/>
        <v>181939.58666666667</v>
      </c>
      <c r="BG91" s="279">
        <f t="shared" si="307"/>
        <v>295604.10333333287</v>
      </c>
      <c r="BH91" s="279">
        <f t="shared" si="307"/>
        <v>962.83333333333337</v>
      </c>
      <c r="BI91" s="279">
        <f t="shared" si="307"/>
        <v>6269441.7199999997</v>
      </c>
      <c r="BJ91" s="280" t="s">
        <v>185</v>
      </c>
      <c r="BK91" s="281">
        <f t="shared" ref="BK91:CP91" si="308">AVERAGE(BK85:BK90)</f>
        <v>0.67138578072479949</v>
      </c>
      <c r="BL91" s="282">
        <f t="shared" si="308"/>
        <v>5047.7315501765406</v>
      </c>
      <c r="BM91" s="283">
        <f t="shared" si="308"/>
        <v>0.14273022478112676</v>
      </c>
      <c r="BN91" s="284">
        <f t="shared" si="308"/>
        <v>1014.6408577743147</v>
      </c>
      <c r="BO91" s="281">
        <f t="shared" si="308"/>
        <v>4.1739918205099667E-2</v>
      </c>
      <c r="BP91" s="282">
        <f t="shared" si="308"/>
        <v>356.37078072828666</v>
      </c>
      <c r="BQ91" s="283">
        <f t="shared" si="308"/>
        <v>0</v>
      </c>
      <c r="BR91" s="284">
        <f t="shared" si="308"/>
        <v>0</v>
      </c>
      <c r="BS91" s="281">
        <f t="shared" si="308"/>
        <v>2.0015988697163731E-2</v>
      </c>
      <c r="BT91" s="282">
        <f t="shared" si="308"/>
        <v>151.73799213634211</v>
      </c>
      <c r="BU91" s="283">
        <f t="shared" si="308"/>
        <v>1.5208861531796479E-2</v>
      </c>
      <c r="BV91" s="284">
        <f t="shared" si="308"/>
        <v>128.24929781343221</v>
      </c>
      <c r="BW91" s="281">
        <f t="shared" si="308"/>
        <v>2.0603775718491422E-4</v>
      </c>
      <c r="BX91" s="282">
        <f t="shared" si="308"/>
        <v>1.5326035858951219</v>
      </c>
      <c r="BY91" s="283">
        <f t="shared" si="308"/>
        <v>2.3117890470643852E-3</v>
      </c>
      <c r="BZ91" s="285">
        <f t="shared" si="308"/>
        <v>16.338660713179063</v>
      </c>
      <c r="CA91" s="286">
        <f t="shared" si="308"/>
        <v>1.701494871994624E-2</v>
      </c>
      <c r="CB91" s="287">
        <f t="shared" si="308"/>
        <v>160.67029638679924</v>
      </c>
      <c r="CC91" s="283">
        <f t="shared" si="308"/>
        <v>5.701097725038775E-2</v>
      </c>
      <c r="CD91" s="288">
        <f t="shared" si="308"/>
        <v>478.66660428289123</v>
      </c>
      <c r="CE91" s="289">
        <f t="shared" si="308"/>
        <v>0.70244523067121911</v>
      </c>
      <c r="CF91" s="286">
        <f t="shared" si="308"/>
        <v>0.59628159659984681</v>
      </c>
      <c r="CG91" s="286">
        <f t="shared" si="308"/>
        <v>0.60832176059946896</v>
      </c>
      <c r="CH91" s="287">
        <f t="shared" si="308"/>
        <v>4495.060142644722</v>
      </c>
      <c r="CI91" s="283">
        <f t="shared" si="308"/>
        <v>0.11038136511592923</v>
      </c>
      <c r="CJ91" s="290">
        <f t="shared" si="308"/>
        <v>9.3290821112442315E-2</v>
      </c>
      <c r="CK91" s="290">
        <f t="shared" si="308"/>
        <v>9.4399949502572966E-2</v>
      </c>
      <c r="CL91" s="291">
        <f t="shared" si="308"/>
        <v>742.96240358804118</v>
      </c>
      <c r="CM91" s="289">
        <f t="shared" si="308"/>
        <v>1.703397195471959E-2</v>
      </c>
      <c r="CN91" s="286">
        <f t="shared" si="308"/>
        <v>1.44851030002265E-2</v>
      </c>
      <c r="CO91" s="286">
        <f t="shared" si="308"/>
        <v>1.478197085588126E-2</v>
      </c>
      <c r="CP91" s="287">
        <f t="shared" si="308"/>
        <v>108.83220486467786</v>
      </c>
      <c r="CQ91" s="283">
        <f t="shared" ref="CQ91:EA91" si="309">AVERAGE(CQ85:CQ90)</f>
        <v>7.7989477208132638E-2</v>
      </c>
      <c r="CR91" s="290">
        <f t="shared" si="309"/>
        <v>6.6077109252800484E-2</v>
      </c>
      <c r="CS91" s="290">
        <f t="shared" si="309"/>
        <v>6.7343351421901218E-2</v>
      </c>
      <c r="CT91" s="288">
        <f t="shared" si="309"/>
        <v>501.50852150463629</v>
      </c>
      <c r="CU91" s="289">
        <f t="shared" si="309"/>
        <v>0.90643746333813635</v>
      </c>
      <c r="CV91" s="286">
        <f t="shared" si="309"/>
        <v>0.76904651570540394</v>
      </c>
      <c r="CW91" s="286">
        <f t="shared" si="309"/>
        <v>0.78392636210638011</v>
      </c>
      <c r="CX91" s="287">
        <f t="shared" si="309"/>
        <v>5833.8093327788301</v>
      </c>
      <c r="CY91" s="283">
        <f t="shared" si="309"/>
        <v>2.7593910138279418E-2</v>
      </c>
      <c r="CZ91" s="290">
        <f t="shared" si="309"/>
        <v>2.2698599957072189E-2</v>
      </c>
      <c r="DA91" s="288">
        <f t="shared" si="309"/>
        <v>170.08505464553301</v>
      </c>
      <c r="DB91" s="289">
        <f t="shared" si="309"/>
        <v>1.7074941674054187E-3</v>
      </c>
      <c r="DC91" s="287">
        <f t="shared" si="309"/>
        <v>11.786778528411388</v>
      </c>
      <c r="DD91" s="283">
        <f t="shared" si="309"/>
        <v>1.6323037161895492E-2</v>
      </c>
      <c r="DE91" s="290">
        <f t="shared" si="309"/>
        <v>1.4439037894545871E-2</v>
      </c>
      <c r="DF91" s="288">
        <f t="shared" si="309"/>
        <v>106.65684759992179</v>
      </c>
      <c r="DG91" s="289">
        <f t="shared" si="309"/>
        <v>1.7691901527090097E-2</v>
      </c>
      <c r="DH91" s="286">
        <f t="shared" si="309"/>
        <v>1.4125478836427431E-2</v>
      </c>
      <c r="DI91" s="287">
        <f t="shared" si="309"/>
        <v>113.82432249926863</v>
      </c>
      <c r="DJ91" s="283">
        <f t="shared" si="309"/>
        <v>2.6115257445911796E-2</v>
      </c>
      <c r="DK91" s="290">
        <f t="shared" si="309"/>
        <v>2.2200797136456937E-2</v>
      </c>
      <c r="DL91" s="290">
        <f t="shared" si="309"/>
        <v>2.2675219828471347E-2</v>
      </c>
      <c r="DM91" s="288">
        <f t="shared" si="309"/>
        <v>169.40286013385563</v>
      </c>
      <c r="DN91" s="289">
        <f>AVERAGE(DN85:DN90)</f>
        <v>9.3120191977956943E-3</v>
      </c>
      <c r="DO91" s="286">
        <f>AVERAGE(DO85:DO90)</f>
        <v>7.9649192371466799E-3</v>
      </c>
      <c r="DP91" s="287">
        <f>AVERAGE(DP85:DP90)</f>
        <v>56.711848521460873</v>
      </c>
      <c r="DQ91" s="283">
        <f t="shared" si="309"/>
        <v>2.7728487951710502E-2</v>
      </c>
      <c r="DR91" s="290">
        <f t="shared" si="309"/>
        <v>2.3674910472014848E-2</v>
      </c>
      <c r="DS91" s="288">
        <f t="shared" si="309"/>
        <v>186.12873143867304</v>
      </c>
      <c r="DT91" s="289">
        <f t="shared" si="309"/>
        <v>1.5283339181425508E-2</v>
      </c>
      <c r="DU91" s="287">
        <f t="shared" si="309"/>
        <v>108.89630414587815</v>
      </c>
      <c r="DV91" s="283">
        <f t="shared" ref="DV91:DW91" si="310">AVERAGE(DV85:DV90)</f>
        <v>1.446274444956352E-2</v>
      </c>
      <c r="DW91" s="288">
        <f t="shared" si="310"/>
        <v>106.15767039207667</v>
      </c>
      <c r="DX91" s="283">
        <f t="shared" si="309"/>
        <v>2.1287856530577802E-5</v>
      </c>
      <c r="DY91" s="290">
        <f t="shared" si="309"/>
        <v>1.8866892747404463E-5</v>
      </c>
      <c r="DZ91" s="290">
        <f t="shared" si="309"/>
        <v>1.9072313228389535E-5</v>
      </c>
      <c r="EA91" s="284">
        <f t="shared" si="309"/>
        <v>0.1434576425367686</v>
      </c>
      <c r="EB91" s="305">
        <f>AVERAGE(EB85:EB90)</f>
        <v>133.75</v>
      </c>
      <c r="EC91" s="279">
        <f>AVERAGE(EC85:EC90)</f>
        <v>10295.676666666666</v>
      </c>
      <c r="ED91" s="279">
        <f>AVERAGE(ED85:ED90)</f>
        <v>26386.666666666668</v>
      </c>
      <c r="EE91" s="279">
        <f>AVERAGE(EE85:EE90)</f>
        <v>28764.023333333334</v>
      </c>
      <c r="EF91" s="279">
        <f>AVERAGE(EF85:EF90)</f>
        <v>37498.57</v>
      </c>
      <c r="EG91" s="227"/>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row>
    <row r="92" spans="1:230" s="5" customFormat="1" ht="15.75" thickTop="1">
      <c r="A92" s="293">
        <v>7010</v>
      </c>
      <c r="B92" s="294">
        <v>10159</v>
      </c>
      <c r="C92" s="293" t="s">
        <v>117</v>
      </c>
      <c r="D92" s="258">
        <f>IFERROR(VLOOKUP(A92,CFR20212022_BenchMarkDataReport!$B$4:$CL$90,19,0),0)</f>
        <v>770387.74</v>
      </c>
      <c r="E92" s="258">
        <f>IFERROR(VLOOKUP(A92,CFR20212022_BenchMarkDataReport!$B$4:$CL$90,20,0),0)</f>
        <v>300977.03999999998</v>
      </c>
      <c r="F92" s="258">
        <f>IFERROR(VLOOKUP(A92,CFR20212022_BenchMarkDataReport!$B$4:$CL$90,21,0),0)</f>
        <v>2463506.14</v>
      </c>
      <c r="G92" s="258">
        <f>IFERROR(VLOOKUP(A92,CFR20212022_BenchMarkDataReport!$B$4:$CL$90,22,0),0)</f>
        <v>0</v>
      </c>
      <c r="H92" s="258">
        <f>IFERROR(VLOOKUP(A92,CFR20212022_BenchMarkDataReport!$B$4:$CL$90,23,0),0)</f>
        <v>34144.980000000003</v>
      </c>
      <c r="I92" s="258">
        <f>IFERROR(VLOOKUP(A92,CFR20212022_BenchMarkDataReport!$B$4:$CL$90,24,0),0)</f>
        <v>33250</v>
      </c>
      <c r="J92" s="258">
        <f>IFERROR(VLOOKUP(A92,CFR20212022_BenchMarkDataReport!$B$4:$CL$90,25,0),0)</f>
        <v>21344.51</v>
      </c>
      <c r="K92" s="258">
        <f>IFERROR(VLOOKUP(A92,CFR20212022_BenchMarkDataReport!$B$4:$CL$90,26,0),0)</f>
        <v>9820.4</v>
      </c>
      <c r="L92" s="258">
        <f>IFERROR(VLOOKUP(A92,CFR20212022_BenchMarkDataReport!$B$4:$CL$90,27,0),0)</f>
        <v>550</v>
      </c>
      <c r="M92" s="258">
        <f>IFERROR(VLOOKUP(A92,CFR20212022_BenchMarkDataReport!$B$4:$CL$90,28,0),0)</f>
        <v>8605.8700000000008</v>
      </c>
      <c r="N92" s="258">
        <f>IFERROR(VLOOKUP(A92,CFR20212022_BenchMarkDataReport!$B$4:$CL$90,29,0),0)</f>
        <v>0</v>
      </c>
      <c r="O92" s="258">
        <f>IFERROR(VLOOKUP(A92,CFR20212022_BenchMarkDataReport!$B$4:$CL$90,30,0),0)</f>
        <v>0</v>
      </c>
      <c r="P92" s="258">
        <f>IFERROR(VLOOKUP(A92,CFR20212022_BenchMarkDataReport!$B$4:$CL$90,31,0),0)</f>
        <v>490</v>
      </c>
      <c r="Q92" s="258">
        <f>IFERROR(VLOOKUP(A92,CFR20212022_BenchMarkDataReport!$B$4:$CL$90,32,0),0)</f>
        <v>5590.43</v>
      </c>
      <c r="R92" s="258">
        <f>IFERROR(VLOOKUP(A92,CFR20212022_BenchMarkDataReport!$B$4:$CL$90,33,0),0)</f>
        <v>0</v>
      </c>
      <c r="S92" s="258">
        <f>IFERROR(VLOOKUP(A92,CFR20212022_BenchMarkDataReport!$B$4:$CL$90,34,0),0)</f>
        <v>0</v>
      </c>
      <c r="T92" s="258">
        <f>IFERROR(VLOOKUP(A92,CFR20212022_BenchMarkDataReport!$B$4:$CL$90,35,0),0)</f>
        <v>0</v>
      </c>
      <c r="U92" s="258">
        <f t="shared" si="152"/>
        <v>28252.18</v>
      </c>
      <c r="V92" s="258">
        <f>IFERROR(VLOOKUP(A92,CFR20212022_BenchMarkDataReport!$B$4:$CL$90,40,0),0)</f>
        <v>1226622.96</v>
      </c>
      <c r="W92" s="258">
        <f>IFERROR(VLOOKUP(A92,CFR20212022_BenchMarkDataReport!$B$4:$CL$90,41,0),0)</f>
        <v>0</v>
      </c>
      <c r="X92" s="258">
        <f>IFERROR(VLOOKUP(A92,CFR20212022_BenchMarkDataReport!$B$4:$CL$90,42,0),0)</f>
        <v>1382662.3</v>
      </c>
      <c r="Y92" s="258">
        <f>IFERROR(VLOOKUP(A92,CFR20212022_BenchMarkDataReport!$B$4:$CL$90,43,0),0)</f>
        <v>114661.04</v>
      </c>
      <c r="Z92" s="258">
        <f>IFERROR(VLOOKUP(A92,CFR20212022_BenchMarkDataReport!$B$4:$CL$90,44,0),0)</f>
        <v>131045.19</v>
      </c>
      <c r="AA92" s="258">
        <f>IFERROR(VLOOKUP(A92,CFR20212022_BenchMarkDataReport!$B$4:$CL$90,45,0),0)</f>
        <v>0</v>
      </c>
      <c r="AB92" s="258">
        <f>IFERROR(VLOOKUP(A92,CFR20212022_BenchMarkDataReport!$B$4:$CL$90,46,0),0)</f>
        <v>63560.61</v>
      </c>
      <c r="AC92" s="258">
        <f>IFERROR(VLOOKUP(A92,CFR20212022_BenchMarkDataReport!$B$4:$CL$90,47,0),0)</f>
        <v>16989.25</v>
      </c>
      <c r="AD92" s="258">
        <f>IFERROR(VLOOKUP(A92,CFR20212022_BenchMarkDataReport!$B$4:$CL$90,48,0),0)</f>
        <v>13670.27</v>
      </c>
      <c r="AE92" s="258">
        <f>IFERROR(VLOOKUP(A92,CFR20212022_BenchMarkDataReport!$B$4:$CL$90,49,0),0)</f>
        <v>0</v>
      </c>
      <c r="AF92" s="258">
        <f>IFERROR(VLOOKUP(A92,CFR20212022_BenchMarkDataReport!$B$4:$CL$90,50,0),0)</f>
        <v>0</v>
      </c>
      <c r="AG92" s="258">
        <f>IFERROR(VLOOKUP(A92,CFR20212022_BenchMarkDataReport!$B$4:$CL$90,51,0),0)</f>
        <v>65588.490000000005</v>
      </c>
      <c r="AH92" s="258">
        <f>IFERROR(VLOOKUP(A92,CFR20212022_BenchMarkDataReport!$B$4:$CL$90,52,0),0)</f>
        <v>16281.01</v>
      </c>
      <c r="AI92" s="258">
        <f>IFERROR(VLOOKUP(A92,CFR20212022_BenchMarkDataReport!$B$4:$CL$90,53,0),0)</f>
        <v>6287.89</v>
      </c>
      <c r="AJ92" s="258">
        <f>IFERROR(VLOOKUP(A92,CFR20212022_BenchMarkDataReport!$B$4:$CL$90,54,0),0)</f>
        <v>4343.08</v>
      </c>
      <c r="AK92" s="258">
        <f>IFERROR(VLOOKUP(A92,CFR20212022_BenchMarkDataReport!$B$4:$CL$90,55,0),0)</f>
        <v>22319.07</v>
      </c>
      <c r="AL92" s="258">
        <f>IFERROR(VLOOKUP(A92,CFR20212022_BenchMarkDataReport!$B$4:$CL$90,56,0),0)</f>
        <v>0</v>
      </c>
      <c r="AM92" s="258">
        <f>IFERROR(VLOOKUP(A92,CFR20212022_BenchMarkDataReport!$B$4:$CL$90,57,0),0)</f>
        <v>17835.95</v>
      </c>
      <c r="AN92" s="258">
        <f>IFERROR(VLOOKUP(A92,CFR20212022_BenchMarkDataReport!$B$4:$CL$90,58,0),0)</f>
        <v>58303.23</v>
      </c>
      <c r="AO92" s="258">
        <f>IFERROR(VLOOKUP(A92,CFR20212022_BenchMarkDataReport!$B$4:$CL$90,59,0),0)</f>
        <v>31110.99</v>
      </c>
      <c r="AP92" s="258">
        <f>IFERROR(VLOOKUP(A92,CFR20212022_BenchMarkDataReport!$B$4:$CL$90,60,0),0)</f>
        <v>907.3</v>
      </c>
      <c r="AQ92" s="258">
        <f>IFERROR(VLOOKUP(A92,CFR20212022_BenchMarkDataReport!$B$4:$CL$90,61,0),0)</f>
        <v>8856.6299999999992</v>
      </c>
      <c r="AR92" s="258">
        <f>IFERROR(VLOOKUP(A92,CFR20212022_BenchMarkDataReport!$B$4:$CL$90,62,0),0)</f>
        <v>9821</v>
      </c>
      <c r="AS92" s="258">
        <f>IFERROR(VLOOKUP(A92,CFR20212022_BenchMarkDataReport!$B$4:$CL$90,63,0),0)</f>
        <v>41500</v>
      </c>
      <c r="AT92" s="258">
        <f>IFERROR(VLOOKUP(A92,CFR20212022_BenchMarkDataReport!$B$4:$CL$90,64,0),0)</f>
        <v>23046.05</v>
      </c>
      <c r="AU92" s="258">
        <f>IFERROR(VLOOKUP(A92,CFR20212022_BenchMarkDataReport!$B$4:$CL$90,65,0),0)</f>
        <v>0</v>
      </c>
      <c r="AV92" s="258">
        <f>IFERROR(VLOOKUP(A92,CFR20212022_BenchMarkDataReport!$B$4:$CL$90,66,0),0)</f>
        <v>134572.38</v>
      </c>
      <c r="AW92" s="258">
        <f>IFERROR(VLOOKUP(A92,CFR20212022_BenchMarkDataReport!$B$4:$CL$90,67,0),0)</f>
        <v>29939.97</v>
      </c>
      <c r="AX92" s="258">
        <f>IFERROR(VLOOKUP(A92,CFR20212022_BenchMarkDataReport!$B$4:$CL$90,68,0),0)</f>
        <v>0</v>
      </c>
      <c r="AY92" s="258">
        <f>IFERROR(VLOOKUP(A92,CFR20212022_BenchMarkDataReport!$B$4:$CL$90,69,0),0)</f>
        <v>0</v>
      </c>
      <c r="AZ92" s="258">
        <f>IFERROR(VLOOKUP(A92,CFR20212022_BenchMarkDataReport!$B$4:$CL$90,70,0),0)</f>
        <v>0</v>
      </c>
      <c r="BA92" s="258">
        <f>IFERROR(VLOOKUP(A92,CFR20212022_BenchMarkDataReport!$B$4:$CL$90,71,0),0)</f>
        <v>0</v>
      </c>
      <c r="BB92" s="258">
        <f>IFERROR(VLOOKUP(A92,CFR20212022_BenchMarkDataReport!$B$4:$CL$90,72,0),0)</f>
        <v>0</v>
      </c>
      <c r="BC92" s="259">
        <f>SUM(D92:R92)+U92</f>
        <v>3676919.29</v>
      </c>
      <c r="BD92" s="260">
        <f>SUM(V92:AZ92)</f>
        <v>3419924.6599999997</v>
      </c>
      <c r="BE92" s="296">
        <f>BC92-BD92</f>
        <v>256994.63000000035</v>
      </c>
      <c r="BF92" s="258">
        <f>IFERROR(VLOOKUP(A92,CFR20212022_BenchMarkDataReport!$B$4:$CL$90,16,0),0)</f>
        <v>354817</v>
      </c>
      <c r="BG92" s="296">
        <f>SUM(BE92:BF92)</f>
        <v>611811.63000000035</v>
      </c>
      <c r="BH92" s="261">
        <f>IFERROR(VLOOKUP(A92,'Pupil Nos BenchmarkData 21-22'!$A$6:$E$94,5,0),0)</f>
        <v>104</v>
      </c>
      <c r="BI92" s="260">
        <f t="shared" si="153"/>
        <v>3534870.92</v>
      </c>
      <c r="BJ92" s="227" t="s">
        <v>187</v>
      </c>
      <c r="BK92" s="262">
        <f>IFERROR(D92/BC92,0)</f>
        <v>0.20951989403063562</v>
      </c>
      <c r="BL92" s="263">
        <f>D92/BH92</f>
        <v>7407.5744230769233</v>
      </c>
      <c r="BM92" s="264">
        <f>E92/BC92</f>
        <v>8.1855764639315751E-2</v>
      </c>
      <c r="BN92" s="265">
        <f>E92/BH92</f>
        <v>2894.0099999999998</v>
      </c>
      <c r="BO92" s="262">
        <f>F92/BC92</f>
        <v>0.66999189965902139</v>
      </c>
      <c r="BP92" s="263">
        <f>F92/BH92</f>
        <v>23687.559038461539</v>
      </c>
      <c r="BQ92" s="264">
        <f>G92/BC92</f>
        <v>0</v>
      </c>
      <c r="BR92" s="265">
        <f>G92/BH92</f>
        <v>0</v>
      </c>
      <c r="BS92" s="262">
        <f>H92/BC92</f>
        <v>9.2863011959122988E-3</v>
      </c>
      <c r="BT92" s="263">
        <f>H92/BH92</f>
        <v>328.31711538461542</v>
      </c>
      <c r="BU92" s="264">
        <f>I92/BC92</f>
        <v>9.0428963427152086E-3</v>
      </c>
      <c r="BV92" s="265">
        <f>I92/BH92</f>
        <v>319.71153846153845</v>
      </c>
      <c r="BW92" s="262">
        <f>J92/BC92</f>
        <v>5.804998238076637E-3</v>
      </c>
      <c r="BX92" s="263">
        <f>J92/BH92</f>
        <v>205.23567307692306</v>
      </c>
      <c r="BY92" s="264">
        <f>IFERROR((K92+L92)/BC92,0)</f>
        <v>2.8204045784208658E-3</v>
      </c>
      <c r="BZ92" s="266">
        <f>IFERROR((K92+L92)/BH92,0)</f>
        <v>99.715384615384608</v>
      </c>
      <c r="CA92" s="267">
        <f>P92/BC92</f>
        <v>1.3326373557685569E-4</v>
      </c>
      <c r="CB92" s="268">
        <f>P92/BH92</f>
        <v>4.7115384615384617</v>
      </c>
      <c r="CC92" s="264">
        <f>Q92/BC92</f>
        <v>1.5204113985324928E-3</v>
      </c>
      <c r="CD92" s="265">
        <f>Q92/BH92</f>
        <v>53.754134615384615</v>
      </c>
      <c r="CE92" s="269">
        <f>(V92+W92+AU92)/BI92</f>
        <v>0.34700643609357029</v>
      </c>
      <c r="CF92" s="267">
        <f>(V92+W92+AU92)/BC92</f>
        <v>0.33360073019171438</v>
      </c>
      <c r="CG92" s="267">
        <f>(V92+W92+AU92)/BD92</f>
        <v>0.35866958542882055</v>
      </c>
      <c r="CH92" s="268">
        <f>(V92+W92+AU92)/BH92</f>
        <v>11794.451538461539</v>
      </c>
      <c r="CI92" s="264">
        <f>X92/BI92</f>
        <v>0.39114930397515058</v>
      </c>
      <c r="CJ92" s="270">
        <f>X92/BC92</f>
        <v>0.37603825130466761</v>
      </c>
      <c r="CK92" s="270">
        <f>X92/BD92</f>
        <v>0.40429612855857477</v>
      </c>
      <c r="CL92" s="271">
        <f t="shared" ref="CL92:CM94" si="311">X92/BH92</f>
        <v>13294.829807692307</v>
      </c>
      <c r="CM92" s="269">
        <f t="shared" si="311"/>
        <v>3.2437122201904901E-2</v>
      </c>
      <c r="CN92" s="267">
        <f>Y92/BC92</f>
        <v>3.1183996970463822E-2</v>
      </c>
      <c r="CO92" s="267">
        <f>Y92/BD92</f>
        <v>3.352735846525929E-2</v>
      </c>
      <c r="CP92" s="268">
        <f t="shared" ref="CP92:CQ94" si="312">Y92/BH92</f>
        <v>1102.51</v>
      </c>
      <c r="CQ92" s="264">
        <f t="shared" si="312"/>
        <v>3.7072128789359018E-2</v>
      </c>
      <c r="CR92" s="270">
        <f>Z92/BC92</f>
        <v>3.5639941936283295E-2</v>
      </c>
      <c r="CS92" s="270">
        <f>Z92/BD92</f>
        <v>3.8318151137282659E-2</v>
      </c>
      <c r="CT92" s="265">
        <f>Z92/BH92</f>
        <v>1260.0499038461539</v>
      </c>
      <c r="CU92" s="269">
        <f>(V92+W92+X92+Y92+Z92+AA92+AB92)/BI92</f>
        <v>0.82564601821443584</v>
      </c>
      <c r="CV92" s="267">
        <f>(V92+W92+X92+Y92+Z92+AA92+AB92)/BC92</f>
        <v>0.79374929657485072</v>
      </c>
      <c r="CW92" s="267">
        <f>(V92+W92+X92+Y92+Z92+AA92+AB92)/BD92</f>
        <v>0.85339660669600825</v>
      </c>
      <c r="CX92" s="268">
        <f>(V92+W92+X92+Y92+Z92+AA92+AB92)/BH92</f>
        <v>28063.000961538459</v>
      </c>
      <c r="CY92" s="264">
        <f>AG92/BI92</f>
        <v>1.8554705810870178E-2</v>
      </c>
      <c r="CZ92" s="270">
        <f>AG92/BD92</f>
        <v>1.9178343536959675E-2</v>
      </c>
      <c r="DA92" s="265">
        <f>AG92/BH92</f>
        <v>630.6585576923078</v>
      </c>
      <c r="DB92" s="269">
        <f>AJ92/BD92</f>
        <v>1.2699344084381088E-3</v>
      </c>
      <c r="DC92" s="268">
        <f t="shared" ref="DC92:DD94" si="313">AJ92/BH92</f>
        <v>41.760384615384616</v>
      </c>
      <c r="DD92" s="264">
        <f t="shared" si="313"/>
        <v>6.3139702990908644E-3</v>
      </c>
      <c r="DE92" s="270">
        <f>AK92/BD92</f>
        <v>6.5261876266011079E-3</v>
      </c>
      <c r="DF92" s="265">
        <f>AK92/BH92</f>
        <v>214.6064423076923</v>
      </c>
      <c r="DG92" s="269">
        <f>AM92/BI92</f>
        <v>5.0457146537050924E-3</v>
      </c>
      <c r="DH92" s="267">
        <f>AM92/BD92</f>
        <v>5.2153049476826785E-3</v>
      </c>
      <c r="DI92" s="272">
        <f t="shared" ref="DI92:DJ94" si="314">AM92/BH92</f>
        <v>171.49951923076924</v>
      </c>
      <c r="DJ92" s="264">
        <f t="shared" si="314"/>
        <v>1.6493736636923648E-2</v>
      </c>
      <c r="DK92" s="270">
        <f>AN92/BC92</f>
        <v>1.5856543318360412E-2</v>
      </c>
      <c r="DL92" s="270">
        <f>AN92/BD92</f>
        <v>1.7048103626937795E-2</v>
      </c>
      <c r="DM92" s="265">
        <f>AN92/BH92</f>
        <v>560.60798076923083</v>
      </c>
      <c r="DN92" s="269">
        <f>AQ92/BI92</f>
        <v>2.505503086375782E-3</v>
      </c>
      <c r="DO92" s="267">
        <f>IFERROR(AQ92/BD92,0)</f>
        <v>2.5897149441882735E-3</v>
      </c>
      <c r="DP92" s="268">
        <f>AQ92/BH92</f>
        <v>85.159903846153838</v>
      </c>
      <c r="DQ92" s="264">
        <f>IFERROR(AV92/BI92,0)</f>
        <v>3.8069955889648156E-2</v>
      </c>
      <c r="DR92" s="270">
        <f>IFERROR(AV92/BD92,0)</f>
        <v>3.9349515962728843E-2</v>
      </c>
      <c r="DS92" s="265">
        <f>AV92/BH92</f>
        <v>1293.9651923076924</v>
      </c>
      <c r="DT92" s="269">
        <f>AT92/BD92</f>
        <v>6.7387595608612034E-3</v>
      </c>
      <c r="DU92" s="268">
        <f>AT92/BH92</f>
        <v>221.5966346153846</v>
      </c>
      <c r="DV92" s="264">
        <f t="shared" si="157"/>
        <v>1.8386048305520277E-3</v>
      </c>
      <c r="DW92" s="265">
        <f t="shared" si="158"/>
        <v>60.46048076923077</v>
      </c>
      <c r="DX92" s="264">
        <f>EB92/BI92</f>
        <v>9.9013516453947356E-6</v>
      </c>
      <c r="DY92" s="270">
        <f>EB92/BC92</f>
        <v>9.5188382554896924E-6</v>
      </c>
      <c r="DZ92" s="270">
        <f>EB92/BD92</f>
        <v>1.0234143579057676E-5</v>
      </c>
      <c r="EA92" s="265">
        <f>EB92/BH92</f>
        <v>0.33653846153846156</v>
      </c>
      <c r="EB92" s="273">
        <f>IFERROR(VLOOKUP(A92,'BARNET SCHS PUPIL PREMIUM Nos'!$E$31:$V$117,17,0),0)</f>
        <v>35</v>
      </c>
      <c r="EC92" s="258">
        <f>IFERROR(VLOOKUP(A92,CFR20212022_BenchMarkDataReport!$B$4:$CL$90,36,0),0)</f>
        <v>0</v>
      </c>
      <c r="ED92" s="258">
        <f>IFERROR(VLOOKUP(A92,CFR20212022_BenchMarkDataReport!$B$4:$CL$90,37,0),0)</f>
        <v>7800</v>
      </c>
      <c r="EE92" s="258">
        <f>IFERROR(VLOOKUP(A92,CFR20212022_BenchMarkDataReport!$B$4:$CL$90,38,0),0)</f>
        <v>20452.18</v>
      </c>
      <c r="EF92" s="258">
        <f>IFERROR(VLOOKUP(A92,CFR20212022_BenchMarkDataReport!$B$4:$CL$90,39,0),0)</f>
        <v>0</v>
      </c>
      <c r="EG92" s="227"/>
    </row>
    <row r="93" spans="1:230" s="5" customFormat="1">
      <c r="A93" s="293">
        <v>7005</v>
      </c>
      <c r="B93" s="294">
        <v>10157</v>
      </c>
      <c r="C93" s="293" t="s">
        <v>118</v>
      </c>
      <c r="D93" s="258">
        <f>IFERROR(VLOOKUP(A93,CFR20212022_BenchMarkDataReport!$B$4:$CL$90,19,0),0)</f>
        <v>1331851.3700000001</v>
      </c>
      <c r="E93" s="258">
        <f>IFERROR(VLOOKUP(A93,CFR20212022_BenchMarkDataReport!$B$4:$CL$90,20,0),0)</f>
        <v>0</v>
      </c>
      <c r="F93" s="258">
        <f>IFERROR(VLOOKUP(A93,CFR20212022_BenchMarkDataReport!$B$4:$CL$90,21,0),0)</f>
        <v>1614472.62</v>
      </c>
      <c r="G93" s="258">
        <f>IFERROR(VLOOKUP(A93,CFR20212022_BenchMarkDataReport!$B$4:$CL$90,22,0),0)</f>
        <v>0</v>
      </c>
      <c r="H93" s="258">
        <f>IFERROR(VLOOKUP(A93,CFR20212022_BenchMarkDataReport!$B$4:$CL$90,23,0),0)</f>
        <v>61869.96</v>
      </c>
      <c r="I93" s="258">
        <f>IFERROR(VLOOKUP(A93,CFR20212022_BenchMarkDataReport!$B$4:$CL$90,24,0),0)</f>
        <v>0</v>
      </c>
      <c r="J93" s="258">
        <f>IFERROR(VLOOKUP(A93,CFR20212022_BenchMarkDataReport!$B$4:$CL$90,25,0),0)</f>
        <v>7177.34</v>
      </c>
      <c r="K93" s="258">
        <f>IFERROR(VLOOKUP(A93,CFR20212022_BenchMarkDataReport!$B$4:$CL$90,26,0),0)</f>
        <v>21512.5</v>
      </c>
      <c r="L93" s="258">
        <f>IFERROR(VLOOKUP(A93,CFR20212022_BenchMarkDataReport!$B$4:$CL$90,27,0),0)</f>
        <v>14315</v>
      </c>
      <c r="M93" s="258">
        <f>IFERROR(VLOOKUP(A93,CFR20212022_BenchMarkDataReport!$B$4:$CL$90,28,0),0)</f>
        <v>8655.24</v>
      </c>
      <c r="N93" s="258">
        <f>IFERROR(VLOOKUP(A93,CFR20212022_BenchMarkDataReport!$B$4:$CL$90,29,0),0)</f>
        <v>8280</v>
      </c>
      <c r="O93" s="258">
        <f>IFERROR(VLOOKUP(A93,CFR20212022_BenchMarkDataReport!$B$4:$CL$90,30,0),0)</f>
        <v>2527.1999999999998</v>
      </c>
      <c r="P93" s="258">
        <f>IFERROR(VLOOKUP(A93,CFR20212022_BenchMarkDataReport!$B$4:$CL$90,31,0),0)</f>
        <v>300</v>
      </c>
      <c r="Q93" s="258">
        <f>IFERROR(VLOOKUP(A93,CFR20212022_BenchMarkDataReport!$B$4:$CL$90,32,0),0)</f>
        <v>792.07</v>
      </c>
      <c r="R93" s="258">
        <f>IFERROR(VLOOKUP(A93,CFR20212022_BenchMarkDataReport!$B$4:$CL$90,33,0),0)</f>
        <v>0</v>
      </c>
      <c r="S93" s="258">
        <f>IFERROR(VLOOKUP(A93,CFR20212022_BenchMarkDataReport!$B$4:$CL$90,34,0),0)</f>
        <v>0</v>
      </c>
      <c r="T93" s="258">
        <f>IFERROR(VLOOKUP(A93,CFR20212022_BenchMarkDataReport!$B$4:$CL$90,35,0),0)</f>
        <v>0</v>
      </c>
      <c r="U93" s="258">
        <f t="shared" si="152"/>
        <v>45846.32</v>
      </c>
      <c r="V93" s="258">
        <f>IFERROR(VLOOKUP(A93,CFR20212022_BenchMarkDataReport!$B$4:$CL$90,40,0),0)</f>
        <v>1115721.1200000001</v>
      </c>
      <c r="W93" s="258">
        <f>IFERROR(VLOOKUP(A93,CFR20212022_BenchMarkDataReport!$B$4:$CL$90,41,0),0)</f>
        <v>0</v>
      </c>
      <c r="X93" s="258">
        <f>IFERROR(VLOOKUP(A93,CFR20212022_BenchMarkDataReport!$B$4:$CL$90,42,0),0)</f>
        <v>1041670.17</v>
      </c>
      <c r="Y93" s="258">
        <f>IFERROR(VLOOKUP(A93,CFR20212022_BenchMarkDataReport!$B$4:$CL$90,43,0),0)</f>
        <v>26948.2</v>
      </c>
      <c r="Z93" s="258">
        <f>IFERROR(VLOOKUP(A93,CFR20212022_BenchMarkDataReport!$B$4:$CL$90,44,0),0)</f>
        <v>148097.59</v>
      </c>
      <c r="AA93" s="258">
        <f>IFERROR(VLOOKUP(A93,CFR20212022_BenchMarkDataReport!$B$4:$CL$90,45,0),0)</f>
        <v>0</v>
      </c>
      <c r="AB93" s="258">
        <f>IFERROR(VLOOKUP(A93,CFR20212022_BenchMarkDataReport!$B$4:$CL$90,46,0),0)</f>
        <v>28747.919999999998</v>
      </c>
      <c r="AC93" s="258">
        <f>IFERROR(VLOOKUP(A93,CFR20212022_BenchMarkDataReport!$B$4:$CL$90,47,0),0)</f>
        <v>17396.55</v>
      </c>
      <c r="AD93" s="258">
        <f>IFERROR(VLOOKUP(A93,CFR20212022_BenchMarkDataReport!$B$4:$CL$90,48,0),0)</f>
        <v>22111.58</v>
      </c>
      <c r="AE93" s="258">
        <f>IFERROR(VLOOKUP(A93,CFR20212022_BenchMarkDataReport!$B$4:$CL$90,49,0),0)</f>
        <v>20954.2</v>
      </c>
      <c r="AF93" s="258">
        <f>IFERROR(VLOOKUP(A93,CFR20212022_BenchMarkDataReport!$B$4:$CL$90,50,0),0)</f>
        <v>0</v>
      </c>
      <c r="AG93" s="258">
        <f>IFERROR(VLOOKUP(A93,CFR20212022_BenchMarkDataReport!$B$4:$CL$90,51,0),0)</f>
        <v>135505.62</v>
      </c>
      <c r="AH93" s="258">
        <f>IFERROR(VLOOKUP(A93,CFR20212022_BenchMarkDataReport!$B$4:$CL$90,52,0),0)</f>
        <v>4640.55</v>
      </c>
      <c r="AI93" s="258">
        <f>IFERROR(VLOOKUP(A93,CFR20212022_BenchMarkDataReport!$B$4:$CL$90,53,0),0)</f>
        <v>31273.72</v>
      </c>
      <c r="AJ93" s="258">
        <f>IFERROR(VLOOKUP(A93,CFR20212022_BenchMarkDataReport!$B$4:$CL$90,54,0),0)</f>
        <v>18.350000000000001</v>
      </c>
      <c r="AK93" s="258">
        <f>IFERROR(VLOOKUP(A93,CFR20212022_BenchMarkDataReport!$B$4:$CL$90,55,0),0)</f>
        <v>52745.75</v>
      </c>
      <c r="AL93" s="258">
        <f>IFERROR(VLOOKUP(A93,CFR20212022_BenchMarkDataReport!$B$4:$CL$90,56,0),0)</f>
        <v>0</v>
      </c>
      <c r="AM93" s="258">
        <f>IFERROR(VLOOKUP(A93,CFR20212022_BenchMarkDataReport!$B$4:$CL$90,57,0),0)</f>
        <v>8866.9</v>
      </c>
      <c r="AN93" s="258">
        <f>IFERROR(VLOOKUP(A93,CFR20212022_BenchMarkDataReport!$B$4:$CL$90,58,0),0)</f>
        <v>55786.04</v>
      </c>
      <c r="AO93" s="258">
        <f>IFERROR(VLOOKUP(A93,CFR20212022_BenchMarkDataReport!$B$4:$CL$90,59,0),0)</f>
        <v>20548.09</v>
      </c>
      <c r="AP93" s="258">
        <f>IFERROR(VLOOKUP(A93,CFR20212022_BenchMarkDataReport!$B$4:$CL$90,60,0),0)</f>
        <v>0</v>
      </c>
      <c r="AQ93" s="258">
        <f>IFERROR(VLOOKUP(A93,CFR20212022_BenchMarkDataReport!$B$4:$CL$90,61,0),0)</f>
        <v>11194.71</v>
      </c>
      <c r="AR93" s="258">
        <f>IFERROR(VLOOKUP(A93,CFR20212022_BenchMarkDataReport!$B$4:$CL$90,62,0),0)</f>
        <v>4814.2</v>
      </c>
      <c r="AS93" s="258">
        <f>IFERROR(VLOOKUP(A93,CFR20212022_BenchMarkDataReport!$B$4:$CL$90,63,0),0)</f>
        <v>675.35</v>
      </c>
      <c r="AT93" s="258">
        <f>IFERROR(VLOOKUP(A93,CFR20212022_BenchMarkDataReport!$B$4:$CL$90,64,0),0)</f>
        <v>42170.42</v>
      </c>
      <c r="AU93" s="258">
        <f>IFERROR(VLOOKUP(A93,CFR20212022_BenchMarkDataReport!$B$4:$CL$90,65,0),0)</f>
        <v>20912.2</v>
      </c>
      <c r="AV93" s="258">
        <f>IFERROR(VLOOKUP(A93,CFR20212022_BenchMarkDataReport!$B$4:$CL$90,66,0),0)</f>
        <v>370765.09</v>
      </c>
      <c r="AW93" s="258">
        <f>IFERROR(VLOOKUP(A93,CFR20212022_BenchMarkDataReport!$B$4:$CL$90,67,0),0)</f>
        <v>42725.17</v>
      </c>
      <c r="AX93" s="258">
        <f>IFERROR(VLOOKUP(A93,CFR20212022_BenchMarkDataReport!$B$4:$CL$90,68,0),0)</f>
        <v>0</v>
      </c>
      <c r="AY93" s="258">
        <f>IFERROR(VLOOKUP(A93,CFR20212022_BenchMarkDataReport!$B$4:$CL$90,69,0),0)</f>
        <v>0</v>
      </c>
      <c r="AZ93" s="258">
        <f>IFERROR(VLOOKUP(A93,CFR20212022_BenchMarkDataReport!$B$4:$CL$90,70,0),0)</f>
        <v>18673.43</v>
      </c>
      <c r="BA93" s="258">
        <f>IFERROR(VLOOKUP(A93,CFR20212022_BenchMarkDataReport!$B$4:$CL$90,71,0),0)</f>
        <v>0</v>
      </c>
      <c r="BB93" s="258">
        <f>IFERROR(VLOOKUP(A93,CFR20212022_BenchMarkDataReport!$B$4:$CL$90,72,0),0)</f>
        <v>0</v>
      </c>
      <c r="BC93" s="259">
        <f>SUM(D93:R93)+U93</f>
        <v>3117599.62</v>
      </c>
      <c r="BD93" s="260">
        <f>SUM(V93:AZ93)</f>
        <v>3242962.9200000004</v>
      </c>
      <c r="BE93" s="296">
        <f>BC93-BD93</f>
        <v>-125363.30000000028</v>
      </c>
      <c r="BF93" s="258">
        <f>IFERROR(VLOOKUP(A93,CFR20212022_BenchMarkDataReport!$B$4:$CL$90,16,0),0)</f>
        <v>621887.64</v>
      </c>
      <c r="BG93" s="296">
        <f>SUM(BE93:BF93)</f>
        <v>496524.33999999973</v>
      </c>
      <c r="BH93" s="261">
        <f>IFERROR(VLOOKUP(A93,'Pupil Nos BenchmarkData 21-22'!$A$6:$E$94,5,0),0)</f>
        <v>124</v>
      </c>
      <c r="BI93" s="260">
        <f t="shared" si="153"/>
        <v>2946323.99</v>
      </c>
      <c r="BJ93" s="227" t="s">
        <v>187</v>
      </c>
      <c r="BK93" s="262">
        <f>IFERROR(D93/BC93,0)</f>
        <v>0.42720410967974137</v>
      </c>
      <c r="BL93" s="263">
        <f>D93/BH93</f>
        <v>10740.736854838711</v>
      </c>
      <c r="BM93" s="264">
        <f>E93/BC93</f>
        <v>0</v>
      </c>
      <c r="BN93" s="265">
        <f>E93/BH93</f>
        <v>0</v>
      </c>
      <c r="BO93" s="262">
        <f>F93/BC93</f>
        <v>0.51785758814019878</v>
      </c>
      <c r="BP93" s="263">
        <f>F93/BH93</f>
        <v>13019.940483870969</v>
      </c>
      <c r="BQ93" s="264">
        <f>G93/BC93</f>
        <v>0</v>
      </c>
      <c r="BR93" s="265">
        <f>G93/BH93</f>
        <v>0</v>
      </c>
      <c r="BS93" s="262">
        <f>H93/BC93</f>
        <v>1.9845383481282307E-2</v>
      </c>
      <c r="BT93" s="263">
        <f>H93/BH93</f>
        <v>498.95129032258063</v>
      </c>
      <c r="BU93" s="264">
        <f>I93/BC93</f>
        <v>0</v>
      </c>
      <c r="BV93" s="265">
        <f>I93/BH93</f>
        <v>0</v>
      </c>
      <c r="BW93" s="262">
        <f>J93/BC93</f>
        <v>2.3022006911843284E-3</v>
      </c>
      <c r="BX93" s="263">
        <f>J93/BH93</f>
        <v>57.881774193548388</v>
      </c>
      <c r="BY93" s="264">
        <f>IFERROR((K93+L93)/BC93,0)</f>
        <v>1.1492014487735919E-2</v>
      </c>
      <c r="BZ93" s="266">
        <f>IFERROR((K93+L93)/BH93,0)</f>
        <v>288.93145161290323</v>
      </c>
      <c r="CA93" s="267">
        <f>P93/BC93</f>
        <v>9.6227879319538785E-5</v>
      </c>
      <c r="CB93" s="268">
        <f>P93/BH93</f>
        <v>2.4193548387096775</v>
      </c>
      <c r="CC93" s="264">
        <f>Q93/BC93</f>
        <v>2.5406405457542363E-4</v>
      </c>
      <c r="CD93" s="265">
        <f>Q93/BH93</f>
        <v>6.3876612903225807</v>
      </c>
      <c r="CE93" s="269">
        <f>(V93+W93+AU93)/BI93</f>
        <v>0.38578015311886998</v>
      </c>
      <c r="CF93" s="267">
        <f>(V93+W93+AU93)/BC93</f>
        <v>0.36458604649175574</v>
      </c>
      <c r="CG93" s="267">
        <f>(V93+W93+AU93)/BD93</f>
        <v>0.3504922344286317</v>
      </c>
      <c r="CH93" s="268">
        <f>(V93+W93+AU93)/BH93</f>
        <v>9166.3977419354851</v>
      </c>
      <c r="CI93" s="264">
        <f>X93/BI93</f>
        <v>0.35354909152404518</v>
      </c>
      <c r="CJ93" s="270">
        <f>X93/BC93</f>
        <v>0.33412570469841152</v>
      </c>
      <c r="CK93" s="270">
        <f>X93/BD93</f>
        <v>0.32120939884197008</v>
      </c>
      <c r="CL93" s="271">
        <f t="shared" si="311"/>
        <v>8400.5658870967745</v>
      </c>
      <c r="CM93" s="269">
        <f t="shared" si="311"/>
        <v>9.1463804019733756E-3</v>
      </c>
      <c r="CN93" s="267">
        <f>Y93/BC93</f>
        <v>8.6438937915959847E-3</v>
      </c>
      <c r="CO93" s="267">
        <f>Y93/BD93</f>
        <v>8.3097465696585875E-3</v>
      </c>
      <c r="CP93" s="268">
        <f t="shared" si="312"/>
        <v>217.32419354838711</v>
      </c>
      <c r="CQ93" s="264">
        <f t="shared" si="312"/>
        <v>5.0265208613394882E-2</v>
      </c>
      <c r="CR93" s="270">
        <f>Z93/BC93</f>
        <v>4.7503723393448445E-2</v>
      </c>
      <c r="CS93" s="270">
        <f>Z93/BD93</f>
        <v>4.5667370751189464E-2</v>
      </c>
      <c r="CT93" s="265">
        <f>Z93/BH93</f>
        <v>1194.3354032258064</v>
      </c>
      <c r="CU93" s="269">
        <f>(V93+W93+X93+Y93+Z93+AA93+AB93)/BI93</f>
        <v>0.80140032393382499</v>
      </c>
      <c r="CV93" s="267">
        <f>(V93+W93+X93+Y93+Z93+AA93+AB93)/BC93</f>
        <v>0.75737275077035071</v>
      </c>
      <c r="CW93" s="267">
        <f>(V93+W93+X93+Y93+Z93+AA93+AB93)/BD93</f>
        <v>0.72809497309947646</v>
      </c>
      <c r="CX93" s="268">
        <f>(V93+W93+X93+Y93+Z93+AA93+AB93)/BH93</f>
        <v>19041.814516129034</v>
      </c>
      <c r="CY93" s="264">
        <f>AG93/BI93</f>
        <v>4.5991418615167298E-2</v>
      </c>
      <c r="CZ93" s="270">
        <f>AG93/BD93</f>
        <v>4.17845110606445E-2</v>
      </c>
      <c r="DA93" s="265">
        <f>AG93/BH93</f>
        <v>1092.787258064516</v>
      </c>
      <c r="DB93" s="269">
        <f>AJ93/BD93</f>
        <v>5.6584057396499619E-6</v>
      </c>
      <c r="DC93" s="268">
        <f t="shared" si="313"/>
        <v>0.14798387096774196</v>
      </c>
      <c r="DD93" s="264">
        <f t="shared" si="313"/>
        <v>1.7902223305726807E-2</v>
      </c>
      <c r="DE93" s="270">
        <f>AK93/BD93</f>
        <v>1.6264678721642611E-2</v>
      </c>
      <c r="DF93" s="265">
        <f>AK93/BH93</f>
        <v>425.36895161290323</v>
      </c>
      <c r="DG93" s="269">
        <f>AM93/BI93</f>
        <v>3.0094789405696008E-3</v>
      </c>
      <c r="DH93" s="267">
        <f>AM93/BD93</f>
        <v>2.7341971581963075E-3</v>
      </c>
      <c r="DI93" s="272">
        <f t="shared" si="314"/>
        <v>71.507258064516122</v>
      </c>
      <c r="DJ93" s="264">
        <f t="shared" si="314"/>
        <v>1.893411593203638E-2</v>
      </c>
      <c r="DK93" s="270">
        <f>AN93/BC93</f>
        <v>1.7893907749449878E-2</v>
      </c>
      <c r="DL93" s="270">
        <f>AN93/BD93</f>
        <v>1.7202182502906938E-2</v>
      </c>
      <c r="DM93" s="265">
        <f>AN93/BH93</f>
        <v>449.8874193548387</v>
      </c>
      <c r="DN93" s="269">
        <f>AQ93/BI93</f>
        <v>3.799551589708231E-3</v>
      </c>
      <c r="DO93" s="267">
        <f>IFERROR(AQ93/BD93,0)</f>
        <v>3.4520006167693086E-3</v>
      </c>
      <c r="DP93" s="268">
        <f>AQ93/BH93</f>
        <v>90.279919354838697</v>
      </c>
      <c r="DQ93" s="264">
        <f>IFERROR(AV93/BI93,0)</f>
        <v>0.12583989108407592</v>
      </c>
      <c r="DR93" s="270">
        <f>IFERROR(AV93/BD93,0)</f>
        <v>0.11432911789198008</v>
      </c>
      <c r="DS93" s="265">
        <f>AV93/BH93</f>
        <v>2990.0410483870969</v>
      </c>
      <c r="DT93" s="269">
        <f>AT93/BD93</f>
        <v>1.3003670112885531E-2</v>
      </c>
      <c r="DU93" s="268">
        <f>AT93/BH93</f>
        <v>340.0840322580645</v>
      </c>
      <c r="DV93" s="264">
        <f t="shared" si="157"/>
        <v>9.6435638554880545E-3</v>
      </c>
      <c r="DW93" s="265">
        <f t="shared" si="158"/>
        <v>252.20741935483872</v>
      </c>
      <c r="DX93" s="264">
        <f>EB93/BI93</f>
        <v>1.5612675373152019E-5</v>
      </c>
      <c r="DY93" s="270">
        <f>EB93/BC93</f>
        <v>1.4754941495662614E-5</v>
      </c>
      <c r="DZ93" s="270">
        <f>EB93/BD93</f>
        <v>1.4184559347351401E-5</v>
      </c>
      <c r="EA93" s="265">
        <f>EB93/BH93</f>
        <v>0.37096774193548387</v>
      </c>
      <c r="EB93" s="273">
        <f>IFERROR(VLOOKUP(A93,'BARNET SCHS PUPIL PREMIUM Nos'!$E$31:$V$117,17,0),0)</f>
        <v>46</v>
      </c>
      <c r="EC93" s="258">
        <f>IFERROR(VLOOKUP(A93,CFR20212022_BenchMarkDataReport!$B$4:$CL$90,36,0),0)</f>
        <v>0</v>
      </c>
      <c r="ED93" s="258">
        <f>IFERROR(VLOOKUP(A93,CFR20212022_BenchMarkDataReport!$B$4:$CL$90,37,0),0)</f>
        <v>0</v>
      </c>
      <c r="EE93" s="258">
        <f>IFERROR(VLOOKUP(A93,CFR20212022_BenchMarkDataReport!$B$4:$CL$90,38,0),0)</f>
        <v>19069.82</v>
      </c>
      <c r="EF93" s="258">
        <f>IFERROR(VLOOKUP(A93,CFR20212022_BenchMarkDataReport!$B$4:$CL$90,39,0),0)</f>
        <v>26776.5</v>
      </c>
      <c r="EG93" s="227"/>
    </row>
    <row r="94" spans="1:230" s="5" customFormat="1">
      <c r="A94" s="293">
        <v>7009</v>
      </c>
      <c r="B94" s="294">
        <v>10158</v>
      </c>
      <c r="C94" s="293" t="s">
        <v>120</v>
      </c>
      <c r="D94" s="258">
        <f>IFERROR(VLOOKUP(A94,CFR20212022_BenchMarkDataReport!$B$4:$CL$90,19,0),0)</f>
        <v>1912195.32</v>
      </c>
      <c r="E94" s="258">
        <f>IFERROR(VLOOKUP(A94,CFR20212022_BenchMarkDataReport!$B$4:$CL$90,20,0),0)</f>
        <v>0</v>
      </c>
      <c r="F94" s="258">
        <f>IFERROR(VLOOKUP(A94,CFR20212022_BenchMarkDataReport!$B$4:$CL$90,21,0),0)</f>
        <v>2053119.84</v>
      </c>
      <c r="G94" s="258">
        <f>IFERROR(VLOOKUP(A94,CFR20212022_BenchMarkDataReport!$B$4:$CL$90,22,0),0)</f>
        <v>0</v>
      </c>
      <c r="H94" s="258">
        <f>IFERROR(VLOOKUP(A94,CFR20212022_BenchMarkDataReport!$B$4:$CL$90,23,0),0)</f>
        <v>59480.04</v>
      </c>
      <c r="I94" s="258">
        <f>IFERROR(VLOOKUP(A94,CFR20212022_BenchMarkDataReport!$B$4:$CL$90,24,0),0)</f>
        <v>0</v>
      </c>
      <c r="J94" s="258">
        <f>IFERROR(VLOOKUP(A94,CFR20212022_BenchMarkDataReport!$B$4:$CL$90,25,0),0)</f>
        <v>706604.66</v>
      </c>
      <c r="K94" s="258">
        <f>IFERROR(VLOOKUP(A94,CFR20212022_BenchMarkDataReport!$B$4:$CL$90,26,0),0)</f>
        <v>3291.15</v>
      </c>
      <c r="L94" s="258">
        <f>IFERROR(VLOOKUP(A94,CFR20212022_BenchMarkDataReport!$B$4:$CL$90,27,0),0)</f>
        <v>19081.14</v>
      </c>
      <c r="M94" s="258">
        <f>IFERROR(VLOOKUP(A94,CFR20212022_BenchMarkDataReport!$B$4:$CL$90,28,0),0)</f>
        <v>5356.38</v>
      </c>
      <c r="N94" s="258">
        <f>IFERROR(VLOOKUP(A94,CFR20212022_BenchMarkDataReport!$B$4:$CL$90,29,0),0)</f>
        <v>0</v>
      </c>
      <c r="O94" s="258">
        <f>IFERROR(VLOOKUP(A94,CFR20212022_BenchMarkDataReport!$B$4:$CL$90,30,0),0)</f>
        <v>0</v>
      </c>
      <c r="P94" s="258">
        <f>IFERROR(VLOOKUP(A94,CFR20212022_BenchMarkDataReport!$B$4:$CL$90,31,0),0)</f>
        <v>4043.37</v>
      </c>
      <c r="Q94" s="258">
        <f>IFERROR(VLOOKUP(A94,CFR20212022_BenchMarkDataReport!$B$4:$CL$90,32,0),0)</f>
        <v>2240.1799999999998</v>
      </c>
      <c r="R94" s="258">
        <f>IFERROR(VLOOKUP(A94,CFR20212022_BenchMarkDataReport!$B$4:$CL$90,33,0),0)</f>
        <v>2496</v>
      </c>
      <c r="S94" s="258">
        <f>IFERROR(VLOOKUP(A94,CFR20212022_BenchMarkDataReport!$B$4:$CL$90,34,0),0)</f>
        <v>0</v>
      </c>
      <c r="T94" s="258">
        <f>IFERROR(VLOOKUP(A94,CFR20212022_BenchMarkDataReport!$B$4:$CL$90,35,0),0)</f>
        <v>0</v>
      </c>
      <c r="U94" s="258">
        <f t="shared" si="152"/>
        <v>65635.5</v>
      </c>
      <c r="V94" s="258">
        <f>IFERROR(VLOOKUP(A94,CFR20212022_BenchMarkDataReport!$B$4:$CL$90,40,0),0)</f>
        <v>1842998.93</v>
      </c>
      <c r="W94" s="258">
        <f>IFERROR(VLOOKUP(A94,CFR20212022_BenchMarkDataReport!$B$4:$CL$90,41,0),0)</f>
        <v>3766.23</v>
      </c>
      <c r="X94" s="258">
        <f>IFERROR(VLOOKUP(A94,CFR20212022_BenchMarkDataReport!$B$4:$CL$90,42,0),0)</f>
        <v>1766058.7</v>
      </c>
      <c r="Y94" s="258">
        <f>IFERROR(VLOOKUP(A94,CFR20212022_BenchMarkDataReport!$B$4:$CL$90,43,0),0)</f>
        <v>52881.919999999998</v>
      </c>
      <c r="Z94" s="258">
        <f>IFERROR(VLOOKUP(A94,CFR20212022_BenchMarkDataReport!$B$4:$CL$90,44,0),0)</f>
        <v>120773.11</v>
      </c>
      <c r="AA94" s="258">
        <f>IFERROR(VLOOKUP(A94,CFR20212022_BenchMarkDataReport!$B$4:$CL$90,45,0),0)</f>
        <v>0</v>
      </c>
      <c r="AB94" s="258">
        <f>IFERROR(VLOOKUP(A94,CFR20212022_BenchMarkDataReport!$B$4:$CL$90,46,0),0)</f>
        <v>103867.5</v>
      </c>
      <c r="AC94" s="258">
        <f>IFERROR(VLOOKUP(A94,CFR20212022_BenchMarkDataReport!$B$4:$CL$90,47,0),0)</f>
        <v>29754.62</v>
      </c>
      <c r="AD94" s="258">
        <f>IFERROR(VLOOKUP(A94,CFR20212022_BenchMarkDataReport!$B$4:$CL$90,48,0),0)</f>
        <v>28218.81</v>
      </c>
      <c r="AE94" s="258">
        <f>IFERROR(VLOOKUP(A94,CFR20212022_BenchMarkDataReport!$B$4:$CL$90,49,0),0)</f>
        <v>0</v>
      </c>
      <c r="AF94" s="258">
        <f>IFERROR(VLOOKUP(A94,CFR20212022_BenchMarkDataReport!$B$4:$CL$90,50,0),0)</f>
        <v>0</v>
      </c>
      <c r="AG94" s="258">
        <f>IFERROR(VLOOKUP(A94,CFR20212022_BenchMarkDataReport!$B$4:$CL$90,51,0),0)</f>
        <v>64900.78</v>
      </c>
      <c r="AH94" s="258">
        <f>IFERROR(VLOOKUP(A94,CFR20212022_BenchMarkDataReport!$B$4:$CL$90,52,0),0)</f>
        <v>10560.2</v>
      </c>
      <c r="AI94" s="258">
        <f>IFERROR(VLOOKUP(A94,CFR20212022_BenchMarkDataReport!$B$4:$CL$90,53,0),0)</f>
        <v>33826.07</v>
      </c>
      <c r="AJ94" s="258">
        <f>IFERROR(VLOOKUP(A94,CFR20212022_BenchMarkDataReport!$B$4:$CL$90,54,0),0)</f>
        <v>5050.71</v>
      </c>
      <c r="AK94" s="258">
        <f>IFERROR(VLOOKUP(A94,CFR20212022_BenchMarkDataReport!$B$4:$CL$90,55,0),0)</f>
        <v>39199.43</v>
      </c>
      <c r="AL94" s="258">
        <f>IFERROR(VLOOKUP(A94,CFR20212022_BenchMarkDataReport!$B$4:$CL$90,56,0),0)</f>
        <v>0</v>
      </c>
      <c r="AM94" s="258">
        <f>IFERROR(VLOOKUP(A94,CFR20212022_BenchMarkDataReport!$B$4:$CL$90,57,0),0)</f>
        <v>32876.92</v>
      </c>
      <c r="AN94" s="258">
        <f>IFERROR(VLOOKUP(A94,CFR20212022_BenchMarkDataReport!$B$4:$CL$90,58,0),0)</f>
        <v>119709.32</v>
      </c>
      <c r="AO94" s="258">
        <f>IFERROR(VLOOKUP(A94,CFR20212022_BenchMarkDataReport!$B$4:$CL$90,59,0),0)</f>
        <v>19168.080000000002</v>
      </c>
      <c r="AP94" s="258">
        <f>IFERROR(VLOOKUP(A94,CFR20212022_BenchMarkDataReport!$B$4:$CL$90,60,0),0)</f>
        <v>0</v>
      </c>
      <c r="AQ94" s="258">
        <f>IFERROR(VLOOKUP(A94,CFR20212022_BenchMarkDataReport!$B$4:$CL$90,61,0),0)</f>
        <v>19145.78</v>
      </c>
      <c r="AR94" s="258">
        <f>IFERROR(VLOOKUP(A94,CFR20212022_BenchMarkDataReport!$B$4:$CL$90,62,0),0)</f>
        <v>5321</v>
      </c>
      <c r="AS94" s="258">
        <f>IFERROR(VLOOKUP(A94,CFR20212022_BenchMarkDataReport!$B$4:$CL$90,63,0),0)</f>
        <v>49570.68</v>
      </c>
      <c r="AT94" s="258">
        <f>IFERROR(VLOOKUP(A94,CFR20212022_BenchMarkDataReport!$B$4:$CL$90,64,0),0)</f>
        <v>41365.519999999997</v>
      </c>
      <c r="AU94" s="258">
        <f>IFERROR(VLOOKUP(A94,CFR20212022_BenchMarkDataReport!$B$4:$CL$90,65,0),0)</f>
        <v>0</v>
      </c>
      <c r="AV94" s="258">
        <f>IFERROR(VLOOKUP(A94,CFR20212022_BenchMarkDataReport!$B$4:$CL$90,66,0),0)</f>
        <v>186668.5</v>
      </c>
      <c r="AW94" s="258">
        <f>IFERROR(VLOOKUP(A94,CFR20212022_BenchMarkDataReport!$B$4:$CL$90,67,0),0)</f>
        <v>55719.69</v>
      </c>
      <c r="AX94" s="258">
        <f>IFERROR(VLOOKUP(A94,CFR20212022_BenchMarkDataReport!$B$4:$CL$90,68,0),0)</f>
        <v>0</v>
      </c>
      <c r="AY94" s="258">
        <f>IFERROR(VLOOKUP(A94,CFR20212022_BenchMarkDataReport!$B$4:$CL$90,69,0),0)</f>
        <v>0</v>
      </c>
      <c r="AZ94" s="258">
        <f>IFERROR(VLOOKUP(A94,CFR20212022_BenchMarkDataReport!$B$4:$CL$90,70,0),0)</f>
        <v>0</v>
      </c>
      <c r="BA94" s="258">
        <f>IFERROR(VLOOKUP(A94,CFR20212022_BenchMarkDataReport!$B$4:$CL$90,71,0),0)</f>
        <v>0</v>
      </c>
      <c r="BB94" s="258">
        <f>IFERROR(VLOOKUP(A94,CFR20212022_BenchMarkDataReport!$B$4:$CL$90,72,0),0)</f>
        <v>0</v>
      </c>
      <c r="BC94" s="259">
        <f>SUM(D94:R94)+U94</f>
        <v>4833543.58</v>
      </c>
      <c r="BD94" s="260">
        <f>SUM(V94:AZ94)</f>
        <v>4631402.5</v>
      </c>
      <c r="BE94" s="296">
        <f>BC94-BD94</f>
        <v>202141.08000000007</v>
      </c>
      <c r="BF94" s="258">
        <f>IFERROR(VLOOKUP(A94,CFR20212022_BenchMarkDataReport!$B$4:$CL$90,16,0),0)</f>
        <v>342372.74</v>
      </c>
      <c r="BG94" s="296">
        <f>SUM(BE94:BF94)</f>
        <v>544513.82000000007</v>
      </c>
      <c r="BH94" s="261">
        <f>IFERROR(VLOOKUP(A94,'Pupil Nos BenchmarkData 21-22'!$A$6:$E$94,5,0),0)</f>
        <v>138</v>
      </c>
      <c r="BI94" s="260">
        <f t="shared" si="153"/>
        <v>3965315.16</v>
      </c>
      <c r="BJ94" s="227" t="s">
        <v>187</v>
      </c>
      <c r="BK94" s="262">
        <f>IFERROR(D94/BC94,0)</f>
        <v>0.39560940919456861</v>
      </c>
      <c r="BL94" s="263">
        <f>D94/BH94</f>
        <v>13856.487826086957</v>
      </c>
      <c r="BM94" s="264">
        <f>E94/BC94</f>
        <v>0</v>
      </c>
      <c r="BN94" s="265">
        <f>E94/BH94</f>
        <v>0</v>
      </c>
      <c r="BO94" s="262">
        <f>F94/BC94</f>
        <v>0.42476493819054384</v>
      </c>
      <c r="BP94" s="263">
        <f>F94/BH94</f>
        <v>14877.68</v>
      </c>
      <c r="BQ94" s="264">
        <f>G94/BC94</f>
        <v>0</v>
      </c>
      <c r="BR94" s="265">
        <f>G94/BH94</f>
        <v>0</v>
      </c>
      <c r="BS94" s="262">
        <f>H94/BC94</f>
        <v>1.2305679883825523E-2</v>
      </c>
      <c r="BT94" s="263">
        <f>H94/BH94</f>
        <v>431.01478260869567</v>
      </c>
      <c r="BU94" s="264">
        <f>I94/BC94</f>
        <v>0</v>
      </c>
      <c r="BV94" s="265">
        <f>I94/BH94</f>
        <v>0</v>
      </c>
      <c r="BW94" s="262">
        <f>J94/BC94</f>
        <v>0.14618770852170532</v>
      </c>
      <c r="BX94" s="263">
        <f>J94/BH94</f>
        <v>5120.3236231884057</v>
      </c>
      <c r="BY94" s="264">
        <f>IFERROR((K94+L94)/BC94,0)</f>
        <v>4.628548316512748E-3</v>
      </c>
      <c r="BZ94" s="266">
        <f>IFERROR((K94+L94)/BH94,0)</f>
        <v>162.11804347826089</v>
      </c>
      <c r="CA94" s="267">
        <f>P94/BC94</f>
        <v>8.3652292217462532E-4</v>
      </c>
      <c r="CB94" s="268">
        <f>P94/BH94</f>
        <v>29.299782608695651</v>
      </c>
      <c r="CC94" s="264">
        <f>Q94/BC94</f>
        <v>4.6346535681798898E-4</v>
      </c>
      <c r="CD94" s="265">
        <f>Q94/BH94</f>
        <v>16.233188405797101</v>
      </c>
      <c r="CE94" s="269">
        <f>(V94+W94+AU94)/BI94</f>
        <v>0.46572973029462805</v>
      </c>
      <c r="CF94" s="267">
        <f>(V94+W94+AU94)/BC94</f>
        <v>0.38207272354829991</v>
      </c>
      <c r="CG94" s="267">
        <f>(V94+W94+AU94)/BD94</f>
        <v>0.39874857777962508</v>
      </c>
      <c r="CH94" s="268">
        <f>(V94+W94+AU94)/BH94</f>
        <v>13382.356231884058</v>
      </c>
      <c r="CI94" s="264">
        <f>X94/BI94</f>
        <v>0.44537662928159283</v>
      </c>
      <c r="CJ94" s="270">
        <f>X94/BC94</f>
        <v>0.36537556158746787</v>
      </c>
      <c r="CK94" s="270">
        <f>X94/BD94</f>
        <v>0.38132265550230193</v>
      </c>
      <c r="CL94" s="271">
        <f t="shared" si="311"/>
        <v>12797.526811594202</v>
      </c>
      <c r="CM94" s="269">
        <f t="shared" si="311"/>
        <v>1.3336120299703996E-2</v>
      </c>
      <c r="CN94" s="267">
        <f>Y94/BC94</f>
        <v>1.0940610987519016E-2</v>
      </c>
      <c r="CO94" s="267">
        <f>Y94/BD94</f>
        <v>1.1418122264260123E-2</v>
      </c>
      <c r="CP94" s="268">
        <f t="shared" si="312"/>
        <v>383.20231884057972</v>
      </c>
      <c r="CQ94" s="264">
        <f t="shared" si="312"/>
        <v>3.0457379836613035E-2</v>
      </c>
      <c r="CR94" s="270">
        <f>Z94/BC94</f>
        <v>2.4986453106521901E-2</v>
      </c>
      <c r="CS94" s="270">
        <f>Z94/BD94</f>
        <v>2.6077005831386928E-2</v>
      </c>
      <c r="CT94" s="265">
        <f>Z94/BH94</f>
        <v>875.16746376811591</v>
      </c>
      <c r="CU94" s="269">
        <f>(V94+W94+X94+Y94+Z94+AA94+AB94)/BI94</f>
        <v>0.98109386846315627</v>
      </c>
      <c r="CV94" s="267">
        <f>(V94+W94+X94+Y94+Z94+AA94+AB94)/BC94</f>
        <v>0.8048642420639972</v>
      </c>
      <c r="CW94" s="267">
        <f>(V94+W94+X94+Y94+Z94+AA94+AB94)/BD94</f>
        <v>0.83999315326188984</v>
      </c>
      <c r="CX94" s="268">
        <f>(V94+W94+X94+Y94+Z94+AA94+AB94)/BH94</f>
        <v>28190.915869565215</v>
      </c>
      <c r="CY94" s="264">
        <f>AG94/BI94</f>
        <v>1.6367117714799748E-2</v>
      </c>
      <c r="CZ94" s="270">
        <f>AG94/BD94</f>
        <v>1.4013202264324899E-2</v>
      </c>
      <c r="DA94" s="265">
        <f>AG94/BH94</f>
        <v>470.29550724637681</v>
      </c>
      <c r="DB94" s="269">
        <f>AJ94/BD94</f>
        <v>1.0905357502398031E-3</v>
      </c>
      <c r="DC94" s="268">
        <f t="shared" si="313"/>
        <v>36.599347826086955</v>
      </c>
      <c r="DD94" s="264">
        <f t="shared" si="313"/>
        <v>9.8855774177606607E-3</v>
      </c>
      <c r="DE94" s="270">
        <f>AK94/BD94</f>
        <v>8.4638357387422057E-3</v>
      </c>
      <c r="DF94" s="265">
        <f>AK94/BH94</f>
        <v>284.05384057971014</v>
      </c>
      <c r="DG94" s="269">
        <f>AM94/BI94</f>
        <v>8.2911240780165364E-3</v>
      </c>
      <c r="DH94" s="267">
        <f>AM94/BD94</f>
        <v>7.0986963452215604E-3</v>
      </c>
      <c r="DI94" s="272">
        <f t="shared" si="314"/>
        <v>238.23855072463766</v>
      </c>
      <c r="DJ94" s="264">
        <f t="shared" si="314"/>
        <v>3.0189106078519115E-2</v>
      </c>
      <c r="DK94" s="270">
        <f>AN94/BC94</f>
        <v>2.4766368197305051E-2</v>
      </c>
      <c r="DL94" s="270">
        <f>AN94/BD94</f>
        <v>2.5847315149136792E-2</v>
      </c>
      <c r="DM94" s="265">
        <f>AN94/BH94</f>
        <v>867.45884057971023</v>
      </c>
      <c r="DN94" s="269">
        <f>AQ94/BI94</f>
        <v>4.8283123099854683E-3</v>
      </c>
      <c r="DO94" s="267">
        <f>IFERROR(AQ94/BD94,0)</f>
        <v>4.1339054422499443E-3</v>
      </c>
      <c r="DP94" s="268">
        <f>AQ94/BH94</f>
        <v>138.73753623188404</v>
      </c>
      <c r="DQ94" s="264">
        <f>IFERROR(AV94/BI94,0)</f>
        <v>4.7075325029145978E-2</v>
      </c>
      <c r="DR94" s="270">
        <f>IFERROR(AV94/BD94,0)</f>
        <v>4.0304961617998007E-2</v>
      </c>
      <c r="DS94" s="265">
        <f>AV94/BH94</f>
        <v>1352.6702898550725</v>
      </c>
      <c r="DT94" s="269">
        <f>AT94/BD94</f>
        <v>8.9315320791056273E-3</v>
      </c>
      <c r="DU94" s="268">
        <f>AT94/BH94</f>
        <v>299.75014492753621</v>
      </c>
      <c r="DV94" s="264">
        <f t="shared" si="157"/>
        <v>7.3036342662940656E-3</v>
      </c>
      <c r="DW94" s="265">
        <f t="shared" si="158"/>
        <v>245.11644927536233</v>
      </c>
      <c r="DX94" s="264">
        <f>EB94/BI94</f>
        <v>1.0844030868910807E-5</v>
      </c>
      <c r="DY94" s="270">
        <f>EB94/BC94</f>
        <v>8.8961647471067183E-6</v>
      </c>
      <c r="DZ94" s="270">
        <f>EB94/BD94</f>
        <v>9.2844446147792159E-6</v>
      </c>
      <c r="EA94" s="265">
        <f>EB94/BH94</f>
        <v>0.31159420289855072</v>
      </c>
      <c r="EB94" s="273">
        <f>IFERROR(VLOOKUP(A94,'BARNET SCHS PUPIL PREMIUM Nos'!$E$31:$V$117,17,0),0)</f>
        <v>43</v>
      </c>
      <c r="EC94" s="258">
        <f>IFERROR(VLOOKUP(A94,CFR20212022_BenchMarkDataReport!$B$4:$CL$90,36,0),0)</f>
        <v>0</v>
      </c>
      <c r="ED94" s="258">
        <f>IFERROR(VLOOKUP(A94,CFR20212022_BenchMarkDataReport!$B$4:$CL$90,37,0),0)</f>
        <v>0</v>
      </c>
      <c r="EE94" s="258">
        <f>IFERROR(VLOOKUP(A94,CFR20212022_BenchMarkDataReport!$B$4:$CL$90,38,0),0)</f>
        <v>45247.47</v>
      </c>
      <c r="EF94" s="258">
        <f>IFERROR(VLOOKUP(A94,CFR20212022_BenchMarkDataReport!$B$4:$CL$90,39,0),0)</f>
        <v>20388.03</v>
      </c>
      <c r="EG94" s="227"/>
    </row>
    <row r="95" spans="1:230" s="41" customFormat="1" ht="16.5" thickBot="1">
      <c r="A95" s="276">
        <v>7999</v>
      </c>
      <c r="B95" s="277"/>
      <c r="C95" s="278" t="s">
        <v>188</v>
      </c>
      <c r="D95" s="279">
        <f>AVERAGE(D92:D94)</f>
        <v>1338144.8100000003</v>
      </c>
      <c r="E95" s="279">
        <f t="shared" ref="E95:BB95" si="315">AVERAGE(E92:E94)</f>
        <v>100325.68</v>
      </c>
      <c r="F95" s="279">
        <f t="shared" si="315"/>
        <v>2043699.5333333334</v>
      </c>
      <c r="G95" s="279">
        <f t="shared" si="315"/>
        <v>0</v>
      </c>
      <c r="H95" s="279">
        <f t="shared" si="315"/>
        <v>51831.66</v>
      </c>
      <c r="I95" s="279">
        <f t="shared" si="315"/>
        <v>11083.333333333334</v>
      </c>
      <c r="J95" s="279">
        <f t="shared" si="315"/>
        <v>245042.17</v>
      </c>
      <c r="K95" s="279">
        <f t="shared" si="315"/>
        <v>11541.35</v>
      </c>
      <c r="L95" s="279">
        <f t="shared" si="315"/>
        <v>11315.38</v>
      </c>
      <c r="M95" s="279">
        <f t="shared" si="315"/>
        <v>7539.1633333333339</v>
      </c>
      <c r="N95" s="279">
        <f t="shared" si="315"/>
        <v>2760</v>
      </c>
      <c r="O95" s="279">
        <f t="shared" si="315"/>
        <v>842.4</v>
      </c>
      <c r="P95" s="279">
        <f t="shared" si="315"/>
        <v>1611.1233333333332</v>
      </c>
      <c r="Q95" s="279">
        <f t="shared" si="315"/>
        <v>2874.2266666666669</v>
      </c>
      <c r="R95" s="279">
        <f t="shared" si="315"/>
        <v>832</v>
      </c>
      <c r="S95" s="279">
        <f t="shared" si="315"/>
        <v>0</v>
      </c>
      <c r="T95" s="279">
        <f t="shared" si="315"/>
        <v>0</v>
      </c>
      <c r="U95" s="279">
        <f t="shared" si="315"/>
        <v>46578</v>
      </c>
      <c r="V95" s="279">
        <f t="shared" si="315"/>
        <v>1395114.3366666667</v>
      </c>
      <c r="W95" s="279">
        <f t="shared" si="315"/>
        <v>1255.4100000000001</v>
      </c>
      <c r="X95" s="279">
        <f t="shared" si="315"/>
        <v>1396797.0566666666</v>
      </c>
      <c r="Y95" s="279">
        <f t="shared" si="315"/>
        <v>64830.386666666658</v>
      </c>
      <c r="Z95" s="279">
        <f t="shared" si="315"/>
        <v>133305.29666666666</v>
      </c>
      <c r="AA95" s="279">
        <f t="shared" si="315"/>
        <v>0</v>
      </c>
      <c r="AB95" s="279">
        <f t="shared" si="315"/>
        <v>65392.01</v>
      </c>
      <c r="AC95" s="279">
        <f t="shared" si="315"/>
        <v>21380.14</v>
      </c>
      <c r="AD95" s="279">
        <f t="shared" si="315"/>
        <v>21333.553333333333</v>
      </c>
      <c r="AE95" s="279">
        <f t="shared" si="315"/>
        <v>6984.7333333333336</v>
      </c>
      <c r="AF95" s="279">
        <f t="shared" si="315"/>
        <v>0</v>
      </c>
      <c r="AG95" s="279">
        <f t="shared" si="315"/>
        <v>88664.963333333333</v>
      </c>
      <c r="AH95" s="279">
        <f t="shared" si="315"/>
        <v>10493.92</v>
      </c>
      <c r="AI95" s="279">
        <f t="shared" si="315"/>
        <v>23795.89333333333</v>
      </c>
      <c r="AJ95" s="279">
        <f t="shared" si="315"/>
        <v>3137.3799999999997</v>
      </c>
      <c r="AK95" s="279">
        <f t="shared" si="315"/>
        <v>38088.083333333336</v>
      </c>
      <c r="AL95" s="279">
        <f t="shared" si="315"/>
        <v>0</v>
      </c>
      <c r="AM95" s="279">
        <f t="shared" si="315"/>
        <v>19859.923333333332</v>
      </c>
      <c r="AN95" s="279">
        <f t="shared" si="315"/>
        <v>77932.863333333342</v>
      </c>
      <c r="AO95" s="279">
        <f t="shared" si="315"/>
        <v>23609.053333333333</v>
      </c>
      <c r="AP95" s="279">
        <f t="shared" si="315"/>
        <v>302.43333333333334</v>
      </c>
      <c r="AQ95" s="279">
        <f t="shared" si="315"/>
        <v>13065.706666666665</v>
      </c>
      <c r="AR95" s="279">
        <f t="shared" si="315"/>
        <v>6652.0666666666666</v>
      </c>
      <c r="AS95" s="279">
        <f t="shared" si="315"/>
        <v>30582.01</v>
      </c>
      <c r="AT95" s="279">
        <f t="shared" si="315"/>
        <v>35527.329999999994</v>
      </c>
      <c r="AU95" s="279">
        <f t="shared" si="315"/>
        <v>6970.7333333333336</v>
      </c>
      <c r="AV95" s="279">
        <f t="shared" si="315"/>
        <v>230668.65666666665</v>
      </c>
      <c r="AW95" s="279">
        <f t="shared" si="315"/>
        <v>42794.943333333336</v>
      </c>
      <c r="AX95" s="279">
        <f>AVERAGE(AX92:AX94)</f>
        <v>0</v>
      </c>
      <c r="AY95" s="279">
        <f t="shared" si="315"/>
        <v>0</v>
      </c>
      <c r="AZ95" s="279">
        <f t="shared" si="315"/>
        <v>6224.4766666666665</v>
      </c>
      <c r="BA95" s="279">
        <f t="shared" si="315"/>
        <v>0</v>
      </c>
      <c r="BB95" s="279">
        <f t="shared" si="315"/>
        <v>0</v>
      </c>
      <c r="BC95" s="279">
        <f t="shared" ref="BC95:BI95" si="316">AVERAGE(BC92:BC94)</f>
        <v>3876020.83</v>
      </c>
      <c r="BD95" s="279">
        <f t="shared" si="316"/>
        <v>3764763.36</v>
      </c>
      <c r="BE95" s="279">
        <f t="shared" si="316"/>
        <v>111257.47000000004</v>
      </c>
      <c r="BF95" s="279">
        <f t="shared" si="316"/>
        <v>439692.45999999996</v>
      </c>
      <c r="BG95" s="279">
        <f t="shared" si="316"/>
        <v>550949.93000000005</v>
      </c>
      <c r="BH95" s="279">
        <f t="shared" si="316"/>
        <v>122</v>
      </c>
      <c r="BI95" s="279">
        <f t="shared" si="316"/>
        <v>3482170.0233333334</v>
      </c>
      <c r="BJ95" s="280" t="s">
        <v>187</v>
      </c>
      <c r="BK95" s="281">
        <f t="shared" ref="BK95:CP95" si="317">AVERAGE(BK92:BK94)</f>
        <v>0.34411113763498186</v>
      </c>
      <c r="BL95" s="282">
        <f t="shared" si="317"/>
        <v>10668.266368000865</v>
      </c>
      <c r="BM95" s="283">
        <f t="shared" si="317"/>
        <v>2.7285254879771917E-2</v>
      </c>
      <c r="BN95" s="284">
        <f t="shared" si="317"/>
        <v>964.67</v>
      </c>
      <c r="BO95" s="281">
        <f t="shared" si="317"/>
        <v>0.537538141996588</v>
      </c>
      <c r="BP95" s="282">
        <f t="shared" si="317"/>
        <v>17195.059840777503</v>
      </c>
      <c r="BQ95" s="283">
        <f t="shared" si="317"/>
        <v>0</v>
      </c>
      <c r="BR95" s="284">
        <f t="shared" si="317"/>
        <v>0</v>
      </c>
      <c r="BS95" s="281">
        <f t="shared" si="317"/>
        <v>1.3812454853673375E-2</v>
      </c>
      <c r="BT95" s="282">
        <f t="shared" si="317"/>
        <v>419.42772943863059</v>
      </c>
      <c r="BU95" s="283">
        <f t="shared" si="317"/>
        <v>3.0142987809050697E-3</v>
      </c>
      <c r="BV95" s="284">
        <f t="shared" si="317"/>
        <v>106.57051282051282</v>
      </c>
      <c r="BW95" s="281">
        <f t="shared" si="317"/>
        <v>5.1431635816988758E-2</v>
      </c>
      <c r="BX95" s="282">
        <f t="shared" si="317"/>
        <v>1794.4803568196257</v>
      </c>
      <c r="BY95" s="283">
        <f t="shared" si="317"/>
        <v>6.3136557942231773E-3</v>
      </c>
      <c r="BZ95" s="285">
        <f t="shared" si="317"/>
        <v>183.58829323551626</v>
      </c>
      <c r="CA95" s="286">
        <f t="shared" si="317"/>
        <v>3.5533817902367324E-4</v>
      </c>
      <c r="CB95" s="287">
        <f t="shared" si="317"/>
        <v>12.143558636314596</v>
      </c>
      <c r="CC95" s="283">
        <f t="shared" si="317"/>
        <v>7.4598026997530181E-4</v>
      </c>
      <c r="CD95" s="288">
        <f t="shared" si="317"/>
        <v>25.45832810383477</v>
      </c>
      <c r="CE95" s="289">
        <f t="shared" si="317"/>
        <v>0.39950543983568948</v>
      </c>
      <c r="CF95" s="286">
        <f t="shared" si="317"/>
        <v>0.36008650007725668</v>
      </c>
      <c r="CG95" s="286">
        <f t="shared" si="317"/>
        <v>0.36930346587902579</v>
      </c>
      <c r="CH95" s="287">
        <f t="shared" si="317"/>
        <v>11447.735170760359</v>
      </c>
      <c r="CI95" s="283">
        <f t="shared" si="317"/>
        <v>0.39669167492692953</v>
      </c>
      <c r="CJ95" s="290">
        <f t="shared" si="317"/>
        <v>0.35851317253018228</v>
      </c>
      <c r="CK95" s="290">
        <f t="shared" si="317"/>
        <v>0.36894272763428226</v>
      </c>
      <c r="CL95" s="291">
        <f t="shared" si="317"/>
        <v>11497.640835461096</v>
      </c>
      <c r="CM95" s="289">
        <f t="shared" si="317"/>
        <v>1.8306540967860756E-2</v>
      </c>
      <c r="CN95" s="286">
        <f t="shared" si="317"/>
        <v>1.6922833916526273E-2</v>
      </c>
      <c r="CO95" s="286">
        <f t="shared" si="317"/>
        <v>1.7751742433059332E-2</v>
      </c>
      <c r="CP95" s="287">
        <f t="shared" si="317"/>
        <v>567.67883746298889</v>
      </c>
      <c r="CQ95" s="283">
        <f t="shared" ref="CQ95:EA95" si="318">AVERAGE(CQ92:CQ94)</f>
        <v>3.9264905746455643E-2</v>
      </c>
      <c r="CR95" s="290">
        <f t="shared" si="318"/>
        <v>3.604337281208455E-2</v>
      </c>
      <c r="CS95" s="290">
        <f t="shared" si="318"/>
        <v>3.6687509239953016E-2</v>
      </c>
      <c r="CT95" s="288">
        <f t="shared" si="318"/>
        <v>1109.8509236133589</v>
      </c>
      <c r="CU95" s="289">
        <f t="shared" si="318"/>
        <v>0.86938007020380559</v>
      </c>
      <c r="CV95" s="286">
        <f t="shared" si="318"/>
        <v>0.78532876313639954</v>
      </c>
      <c r="CW95" s="286">
        <f t="shared" si="318"/>
        <v>0.80716157768579144</v>
      </c>
      <c r="CX95" s="287">
        <f t="shared" si="318"/>
        <v>25098.577115744236</v>
      </c>
      <c r="CY95" s="283">
        <f t="shared" si="318"/>
        <v>2.697108071361241E-2</v>
      </c>
      <c r="CZ95" s="290">
        <f t="shared" si="318"/>
        <v>2.4992018953976358E-2</v>
      </c>
      <c r="DA95" s="288">
        <f t="shared" si="318"/>
        <v>731.24710766773353</v>
      </c>
      <c r="DB95" s="289">
        <f t="shared" si="318"/>
        <v>7.8870952147252051E-4</v>
      </c>
      <c r="DC95" s="287">
        <f t="shared" si="318"/>
        <v>26.169238770813106</v>
      </c>
      <c r="DD95" s="283">
        <f t="shared" si="318"/>
        <v>1.136725700752611E-2</v>
      </c>
      <c r="DE95" s="290">
        <f t="shared" si="318"/>
        <v>1.041823402899531E-2</v>
      </c>
      <c r="DF95" s="288">
        <f t="shared" si="318"/>
        <v>308.00974483343521</v>
      </c>
      <c r="DG95" s="289">
        <f t="shared" si="318"/>
        <v>5.4487725574304093E-3</v>
      </c>
      <c r="DH95" s="286">
        <f t="shared" si="318"/>
        <v>5.0160661503668496E-3</v>
      </c>
      <c r="DI95" s="287">
        <f t="shared" si="318"/>
        <v>160.41510933997435</v>
      </c>
      <c r="DJ95" s="283">
        <f t="shared" si="318"/>
        <v>2.1872319549159715E-2</v>
      </c>
      <c r="DK95" s="290">
        <f t="shared" si="318"/>
        <v>1.9505606421705114E-2</v>
      </c>
      <c r="DL95" s="290">
        <f t="shared" si="318"/>
        <v>2.003253375966051E-2</v>
      </c>
      <c r="DM95" s="288">
        <f t="shared" si="318"/>
        <v>625.98474690125988</v>
      </c>
      <c r="DN95" s="289">
        <f>AVERAGE(DN92:DN94)</f>
        <v>3.7111223286898274E-3</v>
      </c>
      <c r="DO95" s="286">
        <f>AVERAGE(DO92:DO94)</f>
        <v>3.3918736677358424E-3</v>
      </c>
      <c r="DP95" s="287">
        <f>AVERAGE(DP92:DP94)</f>
        <v>104.7257864776255</v>
      </c>
      <c r="DQ95" s="283">
        <f t="shared" si="318"/>
        <v>7.032839066762335E-2</v>
      </c>
      <c r="DR95" s="290">
        <f t="shared" si="318"/>
        <v>6.4661198490902308E-2</v>
      </c>
      <c r="DS95" s="288">
        <f t="shared" si="318"/>
        <v>1878.8921768499538</v>
      </c>
      <c r="DT95" s="289">
        <f t="shared" si="318"/>
        <v>9.5579872509507866E-3</v>
      </c>
      <c r="DU95" s="287">
        <f t="shared" si="318"/>
        <v>287.14360393366178</v>
      </c>
      <c r="DV95" s="283">
        <f t="shared" ref="DV95:DW95" si="319">AVERAGE(DV92:DV94)</f>
        <v>6.2619343174447157E-3</v>
      </c>
      <c r="DW95" s="288">
        <f t="shared" si="319"/>
        <v>185.92811646647726</v>
      </c>
      <c r="DX95" s="283">
        <f t="shared" si="318"/>
        <v>1.2119352629152521E-5</v>
      </c>
      <c r="DY95" s="290">
        <f t="shared" si="318"/>
        <v>1.1056648166086344E-5</v>
      </c>
      <c r="DZ95" s="290">
        <f t="shared" si="318"/>
        <v>1.1234382513729431E-5</v>
      </c>
      <c r="EA95" s="284">
        <f t="shared" si="318"/>
        <v>0.33970013545749872</v>
      </c>
      <c r="EB95" s="305">
        <f>AVERAGE(EB92:EB94)</f>
        <v>41.333333333333336</v>
      </c>
      <c r="EC95" s="279">
        <f>AVERAGE(EC92:EC94)</f>
        <v>0</v>
      </c>
      <c r="ED95" s="279">
        <f>AVERAGE(ED92:ED94)</f>
        <v>2600</v>
      </c>
      <c r="EE95" s="279">
        <f>AVERAGE(EE92:EE94)</f>
        <v>28256.49</v>
      </c>
      <c r="EF95" s="279">
        <f>AVERAGE(EF92:EF94)</f>
        <v>15721.51</v>
      </c>
      <c r="EG95" s="227"/>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row>
    <row r="96" spans="1:230" s="5" customFormat="1" ht="15.75" thickTop="1">
      <c r="A96" s="317">
        <v>1102</v>
      </c>
      <c r="B96" s="318">
        <v>10185</v>
      </c>
      <c r="C96" s="319" t="s">
        <v>310</v>
      </c>
      <c r="D96" s="258">
        <f>IFERROR(VLOOKUP(A96,CFR20212022_BenchMarkDataReport!$B$4:$CL$90,19,0),0)</f>
        <v>486423.46</v>
      </c>
      <c r="E96" s="258">
        <f>IFERROR(VLOOKUP(A96,CFR20212022_BenchMarkDataReport!$B$4:$CL$90,20,0),0)</f>
        <v>0</v>
      </c>
      <c r="F96" s="258">
        <f>IFERROR(VLOOKUP(A96,CFR20212022_BenchMarkDataReport!$B$4:$CL$90,21,0),0)</f>
        <v>0</v>
      </c>
      <c r="G96" s="258">
        <f>IFERROR(VLOOKUP(A96,CFR20212022_BenchMarkDataReport!$B$4:$CL$90,22,0),0)</f>
        <v>0</v>
      </c>
      <c r="H96" s="258">
        <f>IFERROR(VLOOKUP(A96,CFR20212022_BenchMarkDataReport!$B$4:$CL$90,23,0),0)</f>
        <v>6620.31</v>
      </c>
      <c r="I96" s="258">
        <f>IFERROR(VLOOKUP(A96,CFR20212022_BenchMarkDataReport!$B$4:$CL$90,24,0),0)</f>
        <v>0</v>
      </c>
      <c r="J96" s="258">
        <f>IFERROR(VLOOKUP(A96,CFR20212022_BenchMarkDataReport!$B$4:$CL$90,25,0),0)</f>
        <v>3897.64</v>
      </c>
      <c r="K96" s="258">
        <f>IFERROR(VLOOKUP(A96,CFR20212022_BenchMarkDataReport!$B$4:$CL$90,26,0),0)</f>
        <v>0</v>
      </c>
      <c r="L96" s="258">
        <f>IFERROR(VLOOKUP(A96,CFR20212022_BenchMarkDataReport!$B$4:$CL$90,27,0),0)</f>
        <v>97771.33</v>
      </c>
      <c r="M96" s="258">
        <f>IFERROR(VLOOKUP(A96,CFR20212022_BenchMarkDataReport!$B$4:$CL$90,28,0),0)</f>
        <v>0</v>
      </c>
      <c r="N96" s="258">
        <f>IFERROR(VLOOKUP(A96,CFR20212022_BenchMarkDataReport!$B$4:$CL$90,29,0),0)</f>
        <v>0</v>
      </c>
      <c r="O96" s="258">
        <f>IFERROR(VLOOKUP(A96,CFR20212022_BenchMarkDataReport!$B$4:$CL$90,30,0),0)</f>
        <v>1326</v>
      </c>
      <c r="P96" s="258">
        <f>IFERROR(VLOOKUP(A96,CFR20212022_BenchMarkDataReport!$B$4:$CL$90,31,0),0)</f>
        <v>0</v>
      </c>
      <c r="Q96" s="258">
        <f>IFERROR(VLOOKUP(A96,CFR20212022_BenchMarkDataReport!$B$4:$CL$90,32,0),0)</f>
        <v>0</v>
      </c>
      <c r="R96" s="258">
        <f>IFERROR(VLOOKUP(A96,CFR20212022_BenchMarkDataReport!$B$4:$CL$90,33,0),0)</f>
        <v>0</v>
      </c>
      <c r="S96" s="258">
        <f>IFERROR(VLOOKUP(A96,CFR20212022_BenchMarkDataReport!$B$4:$CL$90,34,0),0)</f>
        <v>0</v>
      </c>
      <c r="T96" s="258">
        <f>IFERROR(VLOOKUP(A96,CFR20212022_BenchMarkDataReport!$B$4:$CL$90,35,0),0)</f>
        <v>0</v>
      </c>
      <c r="U96" s="258">
        <f t="shared" si="152"/>
        <v>37659.629999999997</v>
      </c>
      <c r="V96" s="258">
        <f>IFERROR(VLOOKUP(A96,CFR20212022_BenchMarkDataReport!$B$4:$CL$90,40,0),0)</f>
        <v>446778.13</v>
      </c>
      <c r="W96" s="258">
        <f>IFERROR(VLOOKUP(A96,CFR20212022_BenchMarkDataReport!$B$4:$CL$90,41,0),0)</f>
        <v>0</v>
      </c>
      <c r="X96" s="258">
        <f>IFERROR(VLOOKUP(A96,CFR20212022_BenchMarkDataReport!$B$4:$CL$90,42,0),0)</f>
        <v>24920.54</v>
      </c>
      <c r="Y96" s="258">
        <f>IFERROR(VLOOKUP(A96,CFR20212022_BenchMarkDataReport!$B$4:$CL$90,43,0),0)</f>
        <v>0</v>
      </c>
      <c r="Z96" s="258">
        <f>IFERROR(VLOOKUP(A96,CFR20212022_BenchMarkDataReport!$B$4:$CL$90,44,0),0)</f>
        <v>36519.93</v>
      </c>
      <c r="AA96" s="258">
        <f>IFERROR(VLOOKUP(A96,CFR20212022_BenchMarkDataReport!$B$4:$CL$90,45,0),0)</f>
        <v>0</v>
      </c>
      <c r="AB96" s="258">
        <f>IFERROR(VLOOKUP(A96,CFR20212022_BenchMarkDataReport!$B$4:$CL$90,46,0),0)</f>
        <v>656.22</v>
      </c>
      <c r="AC96" s="258">
        <f>IFERROR(VLOOKUP(A96,CFR20212022_BenchMarkDataReport!$B$4:$CL$90,47,0),0)</f>
        <v>5032.92</v>
      </c>
      <c r="AD96" s="258">
        <f>IFERROR(VLOOKUP(A96,CFR20212022_BenchMarkDataReport!$B$4:$CL$90,48,0),0)</f>
        <v>3331.37</v>
      </c>
      <c r="AE96" s="258">
        <f>IFERROR(VLOOKUP(A96,CFR20212022_BenchMarkDataReport!$B$4:$CL$90,49,0),0)</f>
        <v>4834.32</v>
      </c>
      <c r="AF96" s="258">
        <f>IFERROR(VLOOKUP(A96,CFR20212022_BenchMarkDataReport!$B$4:$CL$90,50,0),0)</f>
        <v>0</v>
      </c>
      <c r="AG96" s="258">
        <f>IFERROR(VLOOKUP(A96,CFR20212022_BenchMarkDataReport!$B$4:$CL$90,51,0),0)</f>
        <v>8717.6200000000008</v>
      </c>
      <c r="AH96" s="258">
        <f>IFERROR(VLOOKUP(A96,CFR20212022_BenchMarkDataReport!$B$4:$CL$90,52,0),0)</f>
        <v>0</v>
      </c>
      <c r="AI96" s="258">
        <f>IFERROR(VLOOKUP(A96,CFR20212022_BenchMarkDataReport!$B$4:$CL$90,53,0),0)</f>
        <v>107.47</v>
      </c>
      <c r="AJ96" s="258">
        <f>IFERROR(VLOOKUP(A96,CFR20212022_BenchMarkDataReport!$B$4:$CL$90,54,0),0)</f>
        <v>0</v>
      </c>
      <c r="AK96" s="258">
        <f>IFERROR(VLOOKUP(A96,CFR20212022_BenchMarkDataReport!$B$4:$CL$90,55,0),0)</f>
        <v>0</v>
      </c>
      <c r="AL96" s="258">
        <f>IFERROR(VLOOKUP(A96,CFR20212022_BenchMarkDataReport!$B$4:$CL$90,56,0),0)</f>
        <v>0</v>
      </c>
      <c r="AM96" s="258">
        <f>IFERROR(VLOOKUP(A96,CFR20212022_BenchMarkDataReport!$B$4:$CL$90,57,0),0)</f>
        <v>1129.7</v>
      </c>
      <c r="AN96" s="258">
        <f>IFERROR(VLOOKUP(A96,CFR20212022_BenchMarkDataReport!$B$4:$CL$90,58,0),0)</f>
        <v>13370.36</v>
      </c>
      <c r="AO96" s="258">
        <f>IFERROR(VLOOKUP(A96,CFR20212022_BenchMarkDataReport!$B$4:$CL$90,59,0),0)</f>
        <v>6469.7</v>
      </c>
      <c r="AP96" s="258">
        <f>IFERROR(VLOOKUP(A96,CFR20212022_BenchMarkDataReport!$B$4:$CL$90,60,0),0)</f>
        <v>5173.93</v>
      </c>
      <c r="AQ96" s="258">
        <f>IFERROR(VLOOKUP(A96,CFR20212022_BenchMarkDataReport!$B$4:$CL$90,61,0),0)</f>
        <v>13719.66</v>
      </c>
      <c r="AR96" s="258">
        <f>IFERROR(VLOOKUP(A96,CFR20212022_BenchMarkDataReport!$B$4:$CL$90,62,0),0)</f>
        <v>380</v>
      </c>
      <c r="AS96" s="258">
        <f>IFERROR(VLOOKUP(A96,CFR20212022_BenchMarkDataReport!$B$4:$CL$90,63,0),0)</f>
        <v>0</v>
      </c>
      <c r="AT96" s="258">
        <f>IFERROR(VLOOKUP(A96,CFR20212022_BenchMarkDataReport!$B$4:$CL$90,64,0),0)</f>
        <v>1740.66</v>
      </c>
      <c r="AU96" s="258">
        <f>IFERROR(VLOOKUP(A96,CFR20212022_BenchMarkDataReport!$B$4:$CL$90,65,0),0)</f>
        <v>4236</v>
      </c>
      <c r="AV96" s="258">
        <f>IFERROR(VLOOKUP(A96,CFR20212022_BenchMarkDataReport!$B$4:$CL$90,66,0),0)</f>
        <v>36780.36</v>
      </c>
      <c r="AW96" s="258">
        <f>IFERROR(VLOOKUP(A96,CFR20212022_BenchMarkDataReport!$B$4:$CL$90,67,0),0)</f>
        <v>31740.7</v>
      </c>
      <c r="AX96" s="258">
        <f>IFERROR(VLOOKUP(A96,CFR20212022_BenchMarkDataReport!$B$4:$CL$90,68,0),0)</f>
        <v>0</v>
      </c>
      <c r="AY96" s="258">
        <f>IFERROR(VLOOKUP(A96,CFR20212022_BenchMarkDataReport!$B$4:$CL$90,69,0),0)</f>
        <v>0</v>
      </c>
      <c r="AZ96" s="258">
        <f>IFERROR(VLOOKUP(A96,CFR20212022_BenchMarkDataReport!$B$4:$CL$90,70,0),0)</f>
        <v>527</v>
      </c>
      <c r="BA96" s="258">
        <f>IFERROR(VLOOKUP(A96,CFR20212022_BenchMarkDataReport!$B$4:$CL$90,71,0),0)</f>
        <v>0</v>
      </c>
      <c r="BB96" s="258">
        <f>IFERROR(VLOOKUP(A96,CFR20212022_BenchMarkDataReport!$B$4:$CL$90,72,0),0)</f>
        <v>0</v>
      </c>
      <c r="BC96" s="259">
        <f>SUM(D96:R96)+U96</f>
        <v>633698.37</v>
      </c>
      <c r="BD96" s="260">
        <f>SUM(V96:AZ96)</f>
        <v>646166.58999999985</v>
      </c>
      <c r="BE96" s="296">
        <f>BC96-BD96</f>
        <v>-12468.219999999856</v>
      </c>
      <c r="BF96" s="258">
        <f>IFERROR(VLOOKUP(A96,CFR20212022_BenchMarkDataReport!$B$4:$CL$90,16,0),0)</f>
        <v>178749.21</v>
      </c>
      <c r="BG96" s="296">
        <f>SUM(BE96:BF96)</f>
        <v>166280.99000000014</v>
      </c>
      <c r="BH96" s="261">
        <f>IFERROR(VLOOKUP(A96,'Pupil Nos BenchmarkData 21-22'!$A$6:$E$94,5,0),0)</f>
        <v>30</v>
      </c>
      <c r="BI96" s="260">
        <f t="shared" ref="BI96:BI97" si="320">D96+E96+F96</f>
        <v>486423.46</v>
      </c>
      <c r="BJ96" s="320" t="s">
        <v>326</v>
      </c>
      <c r="BK96" s="262">
        <f>IFERROR(D96/BC96,0)</f>
        <v>0.76759462076571228</v>
      </c>
      <c r="BL96" s="263">
        <f>D96/BH96</f>
        <v>16214.115333333333</v>
      </c>
      <c r="BM96" s="264">
        <f>E96/BC96</f>
        <v>0</v>
      </c>
      <c r="BN96" s="265">
        <f>E96/BH96</f>
        <v>0</v>
      </c>
      <c r="BO96" s="262">
        <f>F96/BC96</f>
        <v>0</v>
      </c>
      <c r="BP96" s="263">
        <f>F96/BH96</f>
        <v>0</v>
      </c>
      <c r="BQ96" s="264">
        <f>G96/BC96</f>
        <v>0</v>
      </c>
      <c r="BR96" s="265">
        <f>G96/BH96</f>
        <v>0</v>
      </c>
      <c r="BS96" s="262">
        <f>H96/BC96</f>
        <v>1.044709961933467E-2</v>
      </c>
      <c r="BT96" s="263">
        <f>H96/BH96</f>
        <v>220.67700000000002</v>
      </c>
      <c r="BU96" s="264">
        <f>I96/BC96</f>
        <v>0</v>
      </c>
      <c r="BV96" s="265">
        <f>I96/BH96</f>
        <v>0</v>
      </c>
      <c r="BW96" s="262">
        <f>J96/BC96</f>
        <v>6.1506233636043593E-3</v>
      </c>
      <c r="BX96" s="263">
        <f>J96/BH96</f>
        <v>129.92133333333334</v>
      </c>
      <c r="BY96" s="264">
        <f>IFERROR((K96+L96)/BC96,0)</f>
        <v>0.15428685732614397</v>
      </c>
      <c r="BZ96" s="266">
        <f>IFERROR((K96+L96)/BH96,0)</f>
        <v>3259.0443333333333</v>
      </c>
      <c r="CA96" s="267">
        <f>P96/BC96</f>
        <v>0</v>
      </c>
      <c r="CB96" s="268">
        <f>P96/BH96</f>
        <v>0</v>
      </c>
      <c r="CC96" s="264">
        <f>Q96/BC96</f>
        <v>0</v>
      </c>
      <c r="CD96" s="265">
        <f>Q96/BH96</f>
        <v>0</v>
      </c>
      <c r="CE96" s="269">
        <f>(V96+W96+AU96)/BI96</f>
        <v>0.92720472404846588</v>
      </c>
      <c r="CF96" s="267">
        <f>(V96+W96+AU96)/BC96</f>
        <v>0.71171735852815909</v>
      </c>
      <c r="CG96" s="267">
        <f>(V96+W96+AU96)/BD96</f>
        <v>0.69798429225503611</v>
      </c>
      <c r="CH96" s="268">
        <f>(V96+W96+AU96)/BH96</f>
        <v>15033.804333333333</v>
      </c>
      <c r="CI96" s="264">
        <f>X96/BI96</f>
        <v>5.1232191802591101E-2</v>
      </c>
      <c r="CJ96" s="270">
        <f>X96/BC96</f>
        <v>3.9325554837706146E-2</v>
      </c>
      <c r="CK96" s="270">
        <f>X96/BD96</f>
        <v>3.8566741743797067E-2</v>
      </c>
      <c r="CL96" s="271">
        <f>X96/BH96</f>
        <v>830.68466666666666</v>
      </c>
      <c r="CM96" s="269">
        <f>Y96/BI96</f>
        <v>0</v>
      </c>
      <c r="CN96" s="267">
        <f>Y96/BC96</f>
        <v>0</v>
      </c>
      <c r="CO96" s="267">
        <f>Y96/BD96</f>
        <v>0</v>
      </c>
      <c r="CP96" s="268">
        <f>Y96/BH96</f>
        <v>0</v>
      </c>
      <c r="CQ96" s="264">
        <f>Z96/BI96</f>
        <v>7.507847174969727E-2</v>
      </c>
      <c r="CR96" s="270">
        <f>Z96/BC96</f>
        <v>5.7629831050378118E-2</v>
      </c>
      <c r="CS96" s="270">
        <f>Z96/BD96</f>
        <v>5.651782460619019E-2</v>
      </c>
      <c r="CT96" s="265">
        <f>Z96/BH96</f>
        <v>1217.3309999999999</v>
      </c>
      <c r="CU96" s="269">
        <f>(V96+W96+X96+Y96+Z96+AA96+AB96)/BI96</f>
        <v>1.0461559974923906</v>
      </c>
      <c r="CV96" s="267">
        <f>(V96+W96+X96+Y96+Z96+AA96+AB96)/BC96</f>
        <v>0.80302371615694701</v>
      </c>
      <c r="CW96" s="267">
        <f>(V96+W96+X96+Y96+Z96+AA96+AB96)/BD96</f>
        <v>0.78752883215456881</v>
      </c>
      <c r="CX96" s="268">
        <f>(V96+W96+X96+Y96+Z96+AA96+AB96)/BH96</f>
        <v>16962.493999999999</v>
      </c>
      <c r="CY96" s="264">
        <f>AG96/BI96</f>
        <v>1.7921874080662148E-2</v>
      </c>
      <c r="CZ96" s="270">
        <f>AG96/BD96</f>
        <v>1.3491288678357702E-2</v>
      </c>
      <c r="DA96" s="265">
        <f>AG96/BH96</f>
        <v>290.58733333333333</v>
      </c>
      <c r="DB96" s="269">
        <f>AJ96/BD96</f>
        <v>0</v>
      </c>
      <c r="DC96" s="268">
        <f>AJ96/BH96</f>
        <v>0</v>
      </c>
      <c r="DD96" s="264">
        <f>AK96/BI96</f>
        <v>0</v>
      </c>
      <c r="DE96" s="270">
        <f>AK96/BD96</f>
        <v>0</v>
      </c>
      <c r="DF96" s="265">
        <f>AK96/BH96</f>
        <v>0</v>
      </c>
      <c r="DG96" s="269">
        <f>AM96/BI96</f>
        <v>2.3224619963847959E-3</v>
      </c>
      <c r="DH96" s="267">
        <f>AM96/BD96</f>
        <v>1.7483107568282048E-3</v>
      </c>
      <c r="DI96" s="272">
        <f>AM96/BH96</f>
        <v>37.656666666666666</v>
      </c>
      <c r="DJ96" s="264">
        <f>AN96/BI96</f>
        <v>2.7487078851007721E-2</v>
      </c>
      <c r="DK96" s="270">
        <f>AN96/BC96</f>
        <v>2.1098933866596503E-2</v>
      </c>
      <c r="DL96" s="270">
        <f>AN96/BD96</f>
        <v>2.069181571272511E-2</v>
      </c>
      <c r="DM96" s="265">
        <f>AN96/BH96</f>
        <v>445.67866666666669</v>
      </c>
      <c r="DN96" s="269">
        <f>AQ96/BI96</f>
        <v>2.8205177439426955E-2</v>
      </c>
      <c r="DO96" s="267">
        <f>IFERROR(AQ96/BD96,0)</f>
        <v>2.1232388384549567E-2</v>
      </c>
      <c r="DP96" s="268">
        <f>AQ96/BH96</f>
        <v>457.322</v>
      </c>
      <c r="DQ96" s="264">
        <f>IFERROR(AV96/BI96,0)</f>
        <v>7.5613869446181731E-2</v>
      </c>
      <c r="DR96" s="270">
        <f>IFERROR(AV96/BD96,0)</f>
        <v>5.6920863085787227E-2</v>
      </c>
      <c r="DS96" s="265">
        <f>AV96/BH96</f>
        <v>1226.0119999999999</v>
      </c>
      <c r="DT96" s="269">
        <f>AT96/BD96</f>
        <v>2.6938254421355963E-3</v>
      </c>
      <c r="DU96" s="268">
        <f>AT96/BH96</f>
        <v>58.022000000000006</v>
      </c>
      <c r="DV96" s="264">
        <f t="shared" si="157"/>
        <v>1.6631933879465978E-4</v>
      </c>
      <c r="DW96" s="265">
        <f t="shared" si="158"/>
        <v>3.5823333333333331</v>
      </c>
      <c r="DX96" s="264">
        <f>EB96/BI96</f>
        <v>8.2232875856768918E-6</v>
      </c>
      <c r="DY96" s="270">
        <f>EB96/BC96</f>
        <v>6.3121513157750428E-6</v>
      </c>
      <c r="DZ96" s="270">
        <f>EB96/BD96</f>
        <v>6.1903541004804981E-6</v>
      </c>
      <c r="EA96" s="265">
        <f>EB96/BH96</f>
        <v>0.13333333333333333</v>
      </c>
      <c r="EB96" s="273">
        <f>IFERROR(VLOOKUP(A96,'BARNET SCHS PUPIL PREMIUM Nos'!$E$31:$V$117,17,0),0)</f>
        <v>4</v>
      </c>
      <c r="EC96" s="258">
        <f>IFERROR(VLOOKUP(A96,CFR20212022_BenchMarkDataReport!$B$4:$CL$90,36,0),0)</f>
        <v>0</v>
      </c>
      <c r="ED96" s="258">
        <f>IFERROR(VLOOKUP(A96,CFR20212022_BenchMarkDataReport!$B$4:$CL$90,37,0),0)</f>
        <v>31207.75</v>
      </c>
      <c r="EE96" s="258">
        <f>IFERROR(VLOOKUP(A96,CFR20212022_BenchMarkDataReport!$B$4:$CL$90,38,0),0)</f>
        <v>6451.88</v>
      </c>
      <c r="EF96" s="258">
        <f>IFERROR(VLOOKUP(A96,CFR20212022_BenchMarkDataReport!$B$4:$CL$90,39,0),0)</f>
        <v>0</v>
      </c>
      <c r="EG96" s="227"/>
    </row>
    <row r="97" spans="1:230" s="5" customFormat="1">
      <c r="A97" s="317">
        <v>1100</v>
      </c>
      <c r="B97" s="318">
        <v>10188</v>
      </c>
      <c r="C97" s="319" t="s">
        <v>308</v>
      </c>
      <c r="D97" s="258">
        <f>IFERROR(VLOOKUP(A97,CFR20212022_BenchMarkDataReport!$B$4:$CL$90,19,0),0)</f>
        <v>1700136.64</v>
      </c>
      <c r="E97" s="258">
        <f>IFERROR(VLOOKUP(A97,CFR20212022_BenchMarkDataReport!$B$4:$CL$90,20,0),0)</f>
        <v>0</v>
      </c>
      <c r="F97" s="258">
        <f>IFERROR(VLOOKUP(A97,CFR20212022_BenchMarkDataReport!$B$4:$CL$90,21,0),0)</f>
        <v>1080223.2</v>
      </c>
      <c r="G97" s="258">
        <f>IFERROR(VLOOKUP(A97,CFR20212022_BenchMarkDataReport!$B$4:$CL$90,22,0),0)</f>
        <v>0</v>
      </c>
      <c r="H97" s="258">
        <f>IFERROR(VLOOKUP(A97,CFR20212022_BenchMarkDataReport!$B$4:$CL$90,23,0),0)</f>
        <v>30057.39</v>
      </c>
      <c r="I97" s="258">
        <f>IFERROR(VLOOKUP(A97,CFR20212022_BenchMarkDataReport!$B$4:$CL$90,24,0),0)</f>
        <v>0</v>
      </c>
      <c r="J97" s="258">
        <f>IFERROR(VLOOKUP(A97,CFR20212022_BenchMarkDataReport!$B$4:$CL$90,25,0),0)</f>
        <v>57172.53</v>
      </c>
      <c r="K97" s="258">
        <f>IFERROR(VLOOKUP(A97,CFR20212022_BenchMarkDataReport!$B$4:$CL$90,26,0),0)</f>
        <v>0</v>
      </c>
      <c r="L97" s="258">
        <f>IFERROR(VLOOKUP(A97,CFR20212022_BenchMarkDataReport!$B$4:$CL$90,27,0),0)</f>
        <v>168086.79</v>
      </c>
      <c r="M97" s="258">
        <f>IFERROR(VLOOKUP(A97,CFR20212022_BenchMarkDataReport!$B$4:$CL$90,28,0),0)</f>
        <v>0</v>
      </c>
      <c r="N97" s="258">
        <f>IFERROR(VLOOKUP(A97,CFR20212022_BenchMarkDataReport!$B$4:$CL$90,29,0),0)</f>
        <v>22373.919999999998</v>
      </c>
      <c r="O97" s="258">
        <f>IFERROR(VLOOKUP(A97,CFR20212022_BenchMarkDataReport!$B$4:$CL$90,30,0),0)</f>
        <v>0</v>
      </c>
      <c r="P97" s="258">
        <f>IFERROR(VLOOKUP(A97,CFR20212022_BenchMarkDataReport!$B$4:$CL$90,31,0),0)</f>
        <v>0</v>
      </c>
      <c r="Q97" s="258">
        <f>IFERROR(VLOOKUP(A97,CFR20212022_BenchMarkDataReport!$B$4:$CL$90,32,0),0)</f>
        <v>0</v>
      </c>
      <c r="R97" s="258">
        <f>IFERROR(VLOOKUP(A97,CFR20212022_BenchMarkDataReport!$B$4:$CL$90,33,0),0)</f>
        <v>0</v>
      </c>
      <c r="S97" s="258">
        <f>IFERROR(VLOOKUP(A97,CFR20212022_BenchMarkDataReport!$B$4:$CL$90,34,0),0)</f>
        <v>0</v>
      </c>
      <c r="T97" s="258">
        <f>IFERROR(VLOOKUP(A97,CFR20212022_BenchMarkDataReport!$B$4:$CL$90,35,0),0)</f>
        <v>0</v>
      </c>
      <c r="U97" s="258">
        <f t="shared" si="152"/>
        <v>63642.09</v>
      </c>
      <c r="V97" s="258">
        <f>IFERROR(VLOOKUP(A97,CFR20212022_BenchMarkDataReport!$B$4:$CL$90,40,0),0)</f>
        <v>1593532.5</v>
      </c>
      <c r="W97" s="258">
        <f>IFERROR(VLOOKUP(A97,CFR20212022_BenchMarkDataReport!$B$4:$CL$90,41,0),0)</f>
        <v>202269.9</v>
      </c>
      <c r="X97" s="258">
        <f>IFERROR(VLOOKUP(A97,CFR20212022_BenchMarkDataReport!$B$4:$CL$90,42,0),0)</f>
        <v>311728.51</v>
      </c>
      <c r="Y97" s="258">
        <f>IFERROR(VLOOKUP(A97,CFR20212022_BenchMarkDataReport!$B$4:$CL$90,43,0),0)</f>
        <v>32179.279999999999</v>
      </c>
      <c r="Z97" s="258">
        <f>IFERROR(VLOOKUP(A97,CFR20212022_BenchMarkDataReport!$B$4:$CL$90,44,0),0)</f>
        <v>62335.32</v>
      </c>
      <c r="AA97" s="258">
        <f>IFERROR(VLOOKUP(A97,CFR20212022_BenchMarkDataReport!$B$4:$CL$90,45,0),0)</f>
        <v>0</v>
      </c>
      <c r="AB97" s="258">
        <f>IFERROR(VLOOKUP(A97,CFR20212022_BenchMarkDataReport!$B$4:$CL$90,46,0),0)</f>
        <v>0</v>
      </c>
      <c r="AC97" s="258">
        <f>IFERROR(VLOOKUP(A97,CFR20212022_BenchMarkDataReport!$B$4:$CL$90,47,0),0)</f>
        <v>12673.88</v>
      </c>
      <c r="AD97" s="258">
        <f>IFERROR(VLOOKUP(A97,CFR20212022_BenchMarkDataReport!$B$4:$CL$90,48,0),0)</f>
        <v>12280.03</v>
      </c>
      <c r="AE97" s="258">
        <f>IFERROR(VLOOKUP(A97,CFR20212022_BenchMarkDataReport!$B$4:$CL$90,49,0),0)</f>
        <v>27209.03</v>
      </c>
      <c r="AF97" s="258">
        <f>IFERROR(VLOOKUP(A97,CFR20212022_BenchMarkDataReport!$B$4:$CL$90,50,0),0)</f>
        <v>1482</v>
      </c>
      <c r="AG97" s="258">
        <f>IFERROR(VLOOKUP(A97,CFR20212022_BenchMarkDataReport!$B$4:$CL$90,51,0),0)</f>
        <v>3589.66</v>
      </c>
      <c r="AH97" s="258">
        <f>IFERROR(VLOOKUP(A97,CFR20212022_BenchMarkDataReport!$B$4:$CL$90,52,0),0)</f>
        <v>3928.08</v>
      </c>
      <c r="AI97" s="258">
        <f>IFERROR(VLOOKUP(A97,CFR20212022_BenchMarkDataReport!$B$4:$CL$90,53,0),0)</f>
        <v>23196.86</v>
      </c>
      <c r="AJ97" s="258">
        <f>IFERROR(VLOOKUP(A97,CFR20212022_BenchMarkDataReport!$B$4:$CL$90,54,0),0)</f>
        <v>1089.33</v>
      </c>
      <c r="AK97" s="258">
        <f>IFERROR(VLOOKUP(A97,CFR20212022_BenchMarkDataReport!$B$4:$CL$90,55,0),0)</f>
        <v>17953.689999999999</v>
      </c>
      <c r="AL97" s="258">
        <f>IFERROR(VLOOKUP(A97,CFR20212022_BenchMarkDataReport!$B$4:$CL$90,56,0),0)</f>
        <v>2697.06</v>
      </c>
      <c r="AM97" s="258">
        <f>IFERROR(VLOOKUP(A97,CFR20212022_BenchMarkDataReport!$B$4:$CL$90,57,0),0)</f>
        <v>10932.41</v>
      </c>
      <c r="AN97" s="258">
        <f>IFERROR(VLOOKUP(A97,CFR20212022_BenchMarkDataReport!$B$4:$CL$90,58,0),0)</f>
        <v>43869.07</v>
      </c>
      <c r="AO97" s="258">
        <f>IFERROR(VLOOKUP(A97,CFR20212022_BenchMarkDataReport!$B$4:$CL$90,59,0),0)</f>
        <v>27039.9</v>
      </c>
      <c r="AP97" s="258">
        <f>IFERROR(VLOOKUP(A97,CFR20212022_BenchMarkDataReport!$B$4:$CL$90,60,0),0)</f>
        <v>5604.2</v>
      </c>
      <c r="AQ97" s="258">
        <f>IFERROR(VLOOKUP(A97,CFR20212022_BenchMarkDataReport!$B$4:$CL$90,61,0),0)</f>
        <v>16426.63</v>
      </c>
      <c r="AR97" s="258">
        <f>IFERROR(VLOOKUP(A97,CFR20212022_BenchMarkDataReport!$B$4:$CL$90,62,0),0)</f>
        <v>3782</v>
      </c>
      <c r="AS97" s="258">
        <f>IFERROR(VLOOKUP(A97,CFR20212022_BenchMarkDataReport!$B$4:$CL$90,63,0),0)</f>
        <v>34412.769999999997</v>
      </c>
      <c r="AT97" s="258">
        <f>IFERROR(VLOOKUP(A97,CFR20212022_BenchMarkDataReport!$B$4:$CL$90,64,0),0)</f>
        <v>33068.39</v>
      </c>
      <c r="AU97" s="258">
        <f>IFERROR(VLOOKUP(A97,CFR20212022_BenchMarkDataReport!$B$4:$CL$90,65,0),0)</f>
        <v>146696.25</v>
      </c>
      <c r="AV97" s="258">
        <f>IFERROR(VLOOKUP(A97,CFR20212022_BenchMarkDataReport!$B$4:$CL$90,66,0),0)</f>
        <v>182090.05</v>
      </c>
      <c r="AW97" s="258">
        <f>IFERROR(VLOOKUP(A97,CFR20212022_BenchMarkDataReport!$B$4:$CL$90,67,0),0)</f>
        <v>48383.45</v>
      </c>
      <c r="AX97" s="258">
        <f>IFERROR(VLOOKUP(A97,CFR20212022_BenchMarkDataReport!$B$4:$CL$90,68,0),0)</f>
        <v>0</v>
      </c>
      <c r="AY97" s="258">
        <f>IFERROR(VLOOKUP(A97,CFR20212022_BenchMarkDataReport!$B$4:$CL$90,69,0),0)</f>
        <v>0</v>
      </c>
      <c r="AZ97" s="258">
        <f>IFERROR(VLOOKUP(A97,CFR20212022_BenchMarkDataReport!$B$4:$CL$90,70,0),0)</f>
        <v>0</v>
      </c>
      <c r="BA97" s="258">
        <f>IFERROR(VLOOKUP(A97,CFR20212022_BenchMarkDataReport!$B$4:$CL$90,71,0),0)</f>
        <v>0</v>
      </c>
      <c r="BB97" s="258">
        <f>IFERROR(VLOOKUP(A97,CFR20212022_BenchMarkDataReport!$B$4:$CL$90,72,0),0)</f>
        <v>0</v>
      </c>
      <c r="BC97" s="259">
        <f>SUM(D97:R97)+U97</f>
        <v>3121692.5599999996</v>
      </c>
      <c r="BD97" s="260">
        <f>SUM(V97:AZ97)</f>
        <v>2860450.2499999995</v>
      </c>
      <c r="BE97" s="296">
        <f>BC97-BD97</f>
        <v>261242.31000000006</v>
      </c>
      <c r="BF97" s="258">
        <f>IFERROR(VLOOKUP(A97,CFR20212022_BenchMarkDataReport!$B$4:$CL$90,16,0),0)</f>
        <v>291425.51</v>
      </c>
      <c r="BG97" s="296">
        <f>SUM(BE97:BF97)</f>
        <v>552667.82000000007</v>
      </c>
      <c r="BH97" s="261">
        <f>IFERROR(VLOOKUP(A97,'Pupil Nos BenchmarkData 21-22'!$A$6:$E$94,5,0),0)</f>
        <v>107</v>
      </c>
      <c r="BI97" s="260">
        <f t="shared" si="320"/>
        <v>2780359.84</v>
      </c>
      <c r="BJ97" s="320" t="s">
        <v>326</v>
      </c>
      <c r="BK97" s="262">
        <f>IFERROR(D97/BC97,0)</f>
        <v>0.54462014029978667</v>
      </c>
      <c r="BL97" s="263">
        <f>D97/BH97</f>
        <v>15889.127476635513</v>
      </c>
      <c r="BM97" s="264">
        <f>E97/BC97</f>
        <v>0</v>
      </c>
      <c r="BN97" s="265">
        <f>E97/BH97</f>
        <v>0</v>
      </c>
      <c r="BO97" s="262">
        <f>F97/BC97</f>
        <v>0.34603766361925148</v>
      </c>
      <c r="BP97" s="263">
        <f>F97/BH97</f>
        <v>10095.543925233644</v>
      </c>
      <c r="BQ97" s="264">
        <f>G97/BC97</f>
        <v>0</v>
      </c>
      <c r="BR97" s="265">
        <f>G97/BH97</f>
        <v>0</v>
      </c>
      <c r="BS97" s="262">
        <f>H97/BC97</f>
        <v>9.6285554782499158E-3</v>
      </c>
      <c r="BT97" s="263">
        <f>H97/BH97</f>
        <v>280.91018691588783</v>
      </c>
      <c r="BU97" s="264">
        <f>I97/BC97</f>
        <v>0</v>
      </c>
      <c r="BV97" s="265">
        <f>I97/BH97</f>
        <v>0</v>
      </c>
      <c r="BW97" s="262">
        <f>J97/BC97</f>
        <v>1.8314593414029218E-2</v>
      </c>
      <c r="BX97" s="263">
        <f>J97/BH97</f>
        <v>534.32271028037383</v>
      </c>
      <c r="BY97" s="264">
        <f>IFERROR((K97+L97)/BC97,0)</f>
        <v>5.3844761061287862E-2</v>
      </c>
      <c r="BZ97" s="266">
        <f>IFERROR((K97+L97)/BH97,0)</f>
        <v>1570.9045794392523</v>
      </c>
      <c r="CA97" s="267">
        <f>P97/BC97</f>
        <v>0</v>
      </c>
      <c r="CB97" s="268">
        <f>P97/BH97</f>
        <v>0</v>
      </c>
      <c r="CC97" s="264">
        <f>Q97/BC97</f>
        <v>0</v>
      </c>
      <c r="CD97" s="265">
        <f>Q97/BH97</f>
        <v>0</v>
      </c>
      <c r="CE97" s="269">
        <f>(V97+W97+AU97)/BI97</f>
        <v>0.69865008911939974</v>
      </c>
      <c r="CF97" s="267">
        <f>(V97+W97+AU97)/BC97</f>
        <v>0.62225815408292484</v>
      </c>
      <c r="CG97" s="267">
        <f>(V97+W97+AU97)/BD97</f>
        <v>0.6790884232298745</v>
      </c>
      <c r="CH97" s="268">
        <f>(V97+W97+AU97)/BH97</f>
        <v>18154.192990654206</v>
      </c>
      <c r="CI97" s="264">
        <f>X97/BI97</f>
        <v>0.11211804512325284</v>
      </c>
      <c r="CJ97" s="270">
        <f>X97/BC97</f>
        <v>9.9858811849171988E-2</v>
      </c>
      <c r="CK97" s="270">
        <f>X97/BD97</f>
        <v>0.10897882597328867</v>
      </c>
      <c r="CL97" s="271">
        <f>X97/BH97</f>
        <v>2913.3505607476636</v>
      </c>
      <c r="CM97" s="269">
        <f>Y97/BI97</f>
        <v>1.1573782478457896E-2</v>
      </c>
      <c r="CN97" s="267">
        <f>Y97/BC97</f>
        <v>1.0308279685299952E-2</v>
      </c>
      <c r="CO97" s="267">
        <f>Y97/BD97</f>
        <v>1.1249725458430891E-2</v>
      </c>
      <c r="CP97" s="268">
        <f>Y97/BH97</f>
        <v>300.74093457943923</v>
      </c>
      <c r="CQ97" s="264">
        <f>Z97/BI97</f>
        <v>2.2419874975607476E-2</v>
      </c>
      <c r="CR97" s="270">
        <f>Z97/BC97</f>
        <v>1.9968436609913952E-2</v>
      </c>
      <c r="CS97" s="270">
        <f>Z97/BD97</f>
        <v>2.1792135696119871E-2</v>
      </c>
      <c r="CT97" s="265">
        <f>Z97/BH97</f>
        <v>582.57308411214956</v>
      </c>
      <c r="CU97" s="269">
        <f>(V97+W97+X97+Y97+Z97+AA97+AB97)/BI97</f>
        <v>0.79200018584644782</v>
      </c>
      <c r="CV97" s="267">
        <f>(V97+W97+X97+Y97+Z97+AA97+AB97)/BC97</f>
        <v>0.70540114622946726</v>
      </c>
      <c r="CW97" s="267">
        <f>(V97+W97+X97+Y97+Z97+AA97+AB97)/BD97</f>
        <v>0.76982478894712469</v>
      </c>
      <c r="CX97" s="268">
        <f>(V97+W97+X97+Y97+Z97+AA97+AB97)/BH97</f>
        <v>20579.864579439251</v>
      </c>
      <c r="CY97" s="264">
        <f>AG97/BI97</f>
        <v>1.2910774887325376E-3</v>
      </c>
      <c r="CZ97" s="270">
        <f>AG97/BD97</f>
        <v>1.2549283106741676E-3</v>
      </c>
      <c r="DA97" s="265">
        <f>AG97/BH97</f>
        <v>33.548224299065417</v>
      </c>
      <c r="DB97" s="269">
        <f>AJ97/BD97</f>
        <v>3.8082466213142498E-4</v>
      </c>
      <c r="DC97" s="268">
        <f>AJ97/BH97</f>
        <v>10.180654205607476</v>
      </c>
      <c r="DD97" s="264">
        <f>AK97/BI97</f>
        <v>6.457326041653659E-3</v>
      </c>
      <c r="DE97" s="270">
        <f>AK97/BD97</f>
        <v>6.2765258721070227E-3</v>
      </c>
      <c r="DF97" s="265">
        <f>AK97/BH97</f>
        <v>167.79149532710278</v>
      </c>
      <c r="DG97" s="269">
        <f>AM97/BI97</f>
        <v>3.9320126275453615E-3</v>
      </c>
      <c r="DH97" s="267">
        <f>AM97/BD97</f>
        <v>3.8219192939992581E-3</v>
      </c>
      <c r="DI97" s="272">
        <f>AM97/BH97</f>
        <v>102.17205607476636</v>
      </c>
      <c r="DJ97" s="264">
        <f>AN97/BI97</f>
        <v>1.5778198695317078E-2</v>
      </c>
      <c r="DK97" s="270">
        <f>AN97/BC97</f>
        <v>1.4052975799769342E-2</v>
      </c>
      <c r="DL97" s="270">
        <f>AN97/BD97</f>
        <v>1.5336421250465729E-2</v>
      </c>
      <c r="DM97" s="265">
        <f>AN97/BH97</f>
        <v>409.99130841121496</v>
      </c>
      <c r="DN97" s="269">
        <f>AQ97/BI97</f>
        <v>5.9080949752173088E-3</v>
      </c>
      <c r="DO97" s="267">
        <f>IFERROR(AQ97/BD97,0)</f>
        <v>5.742672853687983E-3</v>
      </c>
      <c r="DP97" s="268">
        <f>AQ97/BH97</f>
        <v>153.51990654205608</v>
      </c>
      <c r="DQ97" s="264">
        <f>IFERROR(AV97/BI97,0)</f>
        <v>6.5491540835951656E-2</v>
      </c>
      <c r="DR97" s="270">
        <f>IFERROR(AV97/BD97,0)</f>
        <v>6.3657827994036964E-2</v>
      </c>
      <c r="DS97" s="265">
        <f>AV97/BH97</f>
        <v>1701.776168224299</v>
      </c>
      <c r="DT97" s="269">
        <f>AT97/BD97</f>
        <v>1.1560554147026331E-2</v>
      </c>
      <c r="DU97" s="268">
        <f>AT97/BH97</f>
        <v>309.05037383177569</v>
      </c>
      <c r="DV97" s="264">
        <f t="shared" si="157"/>
        <v>8.1095135285083192E-3</v>
      </c>
      <c r="DW97" s="265">
        <f t="shared" si="158"/>
        <v>216.79308411214953</v>
      </c>
      <c r="DX97" s="264">
        <f>EB97/BI97</f>
        <v>1.1149635940648604E-5</v>
      </c>
      <c r="DY97" s="270">
        <f>EB97/BC97</f>
        <v>9.9305102613948638E-6</v>
      </c>
      <c r="DZ97" s="270">
        <f>EB97/BD97</f>
        <v>1.0837454697909885E-5</v>
      </c>
      <c r="EA97" s="265">
        <f>EB97/BH97</f>
        <v>0.28971962616822428</v>
      </c>
      <c r="EB97" s="273">
        <f>IFERROR(VLOOKUP(A97,'BARNET SCHS PUPIL PREMIUM Nos'!$E$31:$V$117,17,0),0)</f>
        <v>31</v>
      </c>
      <c r="EC97" s="258">
        <f>IFERROR(VLOOKUP(A97,CFR20212022_BenchMarkDataReport!$B$4:$CL$90,36,0),0)</f>
        <v>0</v>
      </c>
      <c r="ED97" s="258">
        <f>IFERROR(VLOOKUP(A97,CFR20212022_BenchMarkDataReport!$B$4:$CL$90,37,0),0)</f>
        <v>0</v>
      </c>
      <c r="EE97" s="258">
        <f>IFERROR(VLOOKUP(A97,CFR20212022_BenchMarkDataReport!$B$4:$CL$90,38,0),0)</f>
        <v>0</v>
      </c>
      <c r="EF97" s="258">
        <f>IFERROR(VLOOKUP(A97,CFR20212022_BenchMarkDataReport!$B$4:$CL$90,39,0),0)</f>
        <v>63642.09</v>
      </c>
      <c r="EG97" s="227"/>
    </row>
    <row r="98" spans="1:230" s="5" customFormat="1" ht="16.5" thickBot="1">
      <c r="A98" s="276">
        <v>8999</v>
      </c>
      <c r="B98" s="277"/>
      <c r="C98" s="321" t="s">
        <v>324</v>
      </c>
      <c r="D98" s="279">
        <f t="shared" ref="D98:BB98" si="321">AVERAGE(D96:D97)</f>
        <v>1093280.05</v>
      </c>
      <c r="E98" s="279">
        <f t="shared" si="321"/>
        <v>0</v>
      </c>
      <c r="F98" s="279">
        <f t="shared" si="321"/>
        <v>540111.6</v>
      </c>
      <c r="G98" s="279">
        <f t="shared" si="321"/>
        <v>0</v>
      </c>
      <c r="H98" s="279">
        <f t="shared" si="321"/>
        <v>18338.849999999999</v>
      </c>
      <c r="I98" s="279">
        <f t="shared" si="321"/>
        <v>0</v>
      </c>
      <c r="J98" s="279">
        <f t="shared" si="321"/>
        <v>30535.084999999999</v>
      </c>
      <c r="K98" s="279">
        <f>AVERAGE(K96:K97)</f>
        <v>0</v>
      </c>
      <c r="L98" s="279">
        <f t="shared" si="321"/>
        <v>132929.06</v>
      </c>
      <c r="M98" s="279">
        <f t="shared" si="321"/>
        <v>0</v>
      </c>
      <c r="N98" s="279">
        <f t="shared" si="321"/>
        <v>11186.96</v>
      </c>
      <c r="O98" s="279">
        <f t="shared" si="321"/>
        <v>663</v>
      </c>
      <c r="P98" s="279">
        <f t="shared" si="321"/>
        <v>0</v>
      </c>
      <c r="Q98" s="279">
        <f t="shared" si="321"/>
        <v>0</v>
      </c>
      <c r="R98" s="279">
        <f t="shared" si="321"/>
        <v>0</v>
      </c>
      <c r="S98" s="279">
        <f t="shared" si="321"/>
        <v>0</v>
      </c>
      <c r="T98" s="279">
        <f t="shared" si="321"/>
        <v>0</v>
      </c>
      <c r="U98" s="279">
        <f t="shared" si="321"/>
        <v>50650.86</v>
      </c>
      <c r="V98" s="279">
        <f t="shared" si="321"/>
        <v>1020155.3149999999</v>
      </c>
      <c r="W98" s="279">
        <f t="shared" si="321"/>
        <v>101134.95</v>
      </c>
      <c r="X98" s="279">
        <f t="shared" si="321"/>
        <v>168324.52499999999</v>
      </c>
      <c r="Y98" s="279">
        <f t="shared" si="321"/>
        <v>16089.64</v>
      </c>
      <c r="Z98" s="279">
        <f t="shared" si="321"/>
        <v>49427.625</v>
      </c>
      <c r="AA98" s="279">
        <f t="shared" si="321"/>
        <v>0</v>
      </c>
      <c r="AB98" s="279">
        <f t="shared" si="321"/>
        <v>328.11</v>
      </c>
      <c r="AC98" s="279">
        <f t="shared" si="321"/>
        <v>8853.4</v>
      </c>
      <c r="AD98" s="279">
        <f t="shared" si="321"/>
        <v>7805.7000000000007</v>
      </c>
      <c r="AE98" s="279">
        <f t="shared" si="321"/>
        <v>16021.674999999999</v>
      </c>
      <c r="AF98" s="279">
        <f t="shared" si="321"/>
        <v>741</v>
      </c>
      <c r="AG98" s="279">
        <f t="shared" si="321"/>
        <v>6153.64</v>
      </c>
      <c r="AH98" s="279">
        <f t="shared" si="321"/>
        <v>1964.04</v>
      </c>
      <c r="AI98" s="279">
        <f t="shared" si="321"/>
        <v>11652.165000000001</v>
      </c>
      <c r="AJ98" s="279">
        <f t="shared" si="321"/>
        <v>544.66499999999996</v>
      </c>
      <c r="AK98" s="279">
        <f t="shared" si="321"/>
        <v>8976.8449999999993</v>
      </c>
      <c r="AL98" s="279">
        <f t="shared" si="321"/>
        <v>1348.53</v>
      </c>
      <c r="AM98" s="279">
        <f t="shared" si="321"/>
        <v>6031.0550000000003</v>
      </c>
      <c r="AN98" s="279">
        <f t="shared" si="321"/>
        <v>28619.715</v>
      </c>
      <c r="AO98" s="279">
        <f t="shared" si="321"/>
        <v>16754.8</v>
      </c>
      <c r="AP98" s="279">
        <f t="shared" si="321"/>
        <v>5389.0650000000005</v>
      </c>
      <c r="AQ98" s="279">
        <f t="shared" si="321"/>
        <v>15073.145</v>
      </c>
      <c r="AR98" s="279">
        <f t="shared" si="321"/>
        <v>2081</v>
      </c>
      <c r="AS98" s="279">
        <f t="shared" si="321"/>
        <v>17206.384999999998</v>
      </c>
      <c r="AT98" s="279">
        <f t="shared" si="321"/>
        <v>17404.525000000001</v>
      </c>
      <c r="AU98" s="279">
        <f t="shared" si="321"/>
        <v>75466.125</v>
      </c>
      <c r="AV98" s="279">
        <f t="shared" si="321"/>
        <v>109435.20499999999</v>
      </c>
      <c r="AW98" s="279">
        <f t="shared" si="321"/>
        <v>40062.074999999997</v>
      </c>
      <c r="AX98" s="279">
        <f>AVERAGE(AX96:AX97)</f>
        <v>0</v>
      </c>
      <c r="AY98" s="279">
        <f t="shared" si="321"/>
        <v>0</v>
      </c>
      <c r="AZ98" s="279">
        <f t="shared" si="321"/>
        <v>263.5</v>
      </c>
      <c r="BA98" s="279">
        <f t="shared" si="321"/>
        <v>0</v>
      </c>
      <c r="BB98" s="279">
        <f t="shared" si="321"/>
        <v>0</v>
      </c>
      <c r="BC98" s="279">
        <f t="shared" ref="BC98:BI98" si="322">AVERAGE(BC96:BC97)</f>
        <v>1877695.4649999999</v>
      </c>
      <c r="BD98" s="279">
        <f t="shared" si="322"/>
        <v>1753308.4199999997</v>
      </c>
      <c r="BE98" s="279">
        <f t="shared" si="322"/>
        <v>124387.0450000001</v>
      </c>
      <c r="BF98" s="279">
        <f t="shared" si="322"/>
        <v>235087.35999999999</v>
      </c>
      <c r="BG98" s="279">
        <f t="shared" si="322"/>
        <v>359474.40500000009</v>
      </c>
      <c r="BH98" s="322">
        <f t="shared" si="322"/>
        <v>68.5</v>
      </c>
      <c r="BI98" s="279">
        <f t="shared" si="322"/>
        <v>1633391.65</v>
      </c>
      <c r="BJ98" s="320" t="s">
        <v>326</v>
      </c>
      <c r="BK98" s="323">
        <f t="shared" ref="BK98:CZ98" si="323">AVERAGE(BK96:BK97)</f>
        <v>0.65610738053274953</v>
      </c>
      <c r="BL98" s="324">
        <f t="shared" si="323"/>
        <v>16051.621404984424</v>
      </c>
      <c r="BM98" s="325">
        <f t="shared" si="323"/>
        <v>0</v>
      </c>
      <c r="BN98" s="326">
        <f t="shared" si="323"/>
        <v>0</v>
      </c>
      <c r="BO98" s="323">
        <f t="shared" si="323"/>
        <v>0.17301883180962574</v>
      </c>
      <c r="BP98" s="324">
        <f t="shared" si="323"/>
        <v>5047.7719626168218</v>
      </c>
      <c r="BQ98" s="325">
        <f t="shared" si="323"/>
        <v>0</v>
      </c>
      <c r="BR98" s="326">
        <f t="shared" si="323"/>
        <v>0</v>
      </c>
      <c r="BS98" s="323">
        <f t="shared" si="323"/>
        <v>1.0037827548792292E-2</v>
      </c>
      <c r="BT98" s="324">
        <f t="shared" si="323"/>
        <v>250.79359345794393</v>
      </c>
      <c r="BU98" s="325">
        <f t="shared" si="323"/>
        <v>0</v>
      </c>
      <c r="BV98" s="326">
        <f t="shared" si="323"/>
        <v>0</v>
      </c>
      <c r="BW98" s="323">
        <f t="shared" si="323"/>
        <v>1.2232608388816789E-2</v>
      </c>
      <c r="BX98" s="324">
        <f t="shared" si="323"/>
        <v>332.12202180685358</v>
      </c>
      <c r="BY98" s="325">
        <f t="shared" si="323"/>
        <v>0.10406580919371591</v>
      </c>
      <c r="BZ98" s="327">
        <f t="shared" si="323"/>
        <v>2414.9744563862928</v>
      </c>
      <c r="CA98" s="328">
        <f t="shared" si="323"/>
        <v>0</v>
      </c>
      <c r="CB98" s="329">
        <f t="shared" si="323"/>
        <v>0</v>
      </c>
      <c r="CC98" s="325">
        <f t="shared" si="323"/>
        <v>0</v>
      </c>
      <c r="CD98" s="330">
        <f t="shared" si="323"/>
        <v>0</v>
      </c>
      <c r="CE98" s="331">
        <f t="shared" si="323"/>
        <v>0.81292740658393281</v>
      </c>
      <c r="CF98" s="328">
        <f t="shared" si="323"/>
        <v>0.66698775630554197</v>
      </c>
      <c r="CG98" s="328">
        <f t="shared" si="323"/>
        <v>0.68853635774245525</v>
      </c>
      <c r="CH98" s="329">
        <f t="shared" si="323"/>
        <v>16593.99866199377</v>
      </c>
      <c r="CI98" s="325">
        <f t="shared" si="323"/>
        <v>8.167511846292197E-2</v>
      </c>
      <c r="CJ98" s="332">
        <f t="shared" si="323"/>
        <v>6.9592183343439071E-2</v>
      </c>
      <c r="CK98" s="332">
        <f t="shared" si="323"/>
        <v>7.377278385854287E-2</v>
      </c>
      <c r="CL98" s="333">
        <f t="shared" si="323"/>
        <v>1872.0176137071651</v>
      </c>
      <c r="CM98" s="331">
        <f t="shared" si="323"/>
        <v>5.786891239228948E-3</v>
      </c>
      <c r="CN98" s="328">
        <f t="shared" si="323"/>
        <v>5.1541398426499761E-3</v>
      </c>
      <c r="CO98" s="328">
        <f t="shared" si="323"/>
        <v>5.6248627292154454E-3</v>
      </c>
      <c r="CP98" s="329">
        <f t="shared" si="323"/>
        <v>150.37046728971961</v>
      </c>
      <c r="CQ98" s="325">
        <f t="shared" si="323"/>
        <v>4.8749173362652373E-2</v>
      </c>
      <c r="CR98" s="332">
        <f t="shared" si="323"/>
        <v>3.8799133830146035E-2</v>
      </c>
      <c r="CS98" s="332">
        <f t="shared" si="323"/>
        <v>3.9154980151155032E-2</v>
      </c>
      <c r="CT98" s="330">
        <f t="shared" si="323"/>
        <v>899.95204205607479</v>
      </c>
      <c r="CU98" s="331">
        <f t="shared" si="323"/>
        <v>0.91907809166941923</v>
      </c>
      <c r="CV98" s="328">
        <f t="shared" si="323"/>
        <v>0.75421243119320713</v>
      </c>
      <c r="CW98" s="328">
        <f t="shared" si="323"/>
        <v>0.77867681055084681</v>
      </c>
      <c r="CX98" s="329">
        <f t="shared" si="323"/>
        <v>18771.179289719625</v>
      </c>
      <c r="CY98" s="325">
        <f t="shared" si="323"/>
        <v>9.6064757846973433E-3</v>
      </c>
      <c r="CZ98" s="332">
        <f t="shared" si="323"/>
        <v>7.3731084945159349E-3</v>
      </c>
      <c r="DA98" s="330">
        <f t="shared" ref="DA98:DI98" si="324">AVERAGE(DA96:DA97)</f>
        <v>162.06777881619936</v>
      </c>
      <c r="DB98" s="331">
        <f t="shared" si="324"/>
        <v>1.9041233106571249E-4</v>
      </c>
      <c r="DC98" s="329">
        <f t="shared" si="324"/>
        <v>5.0903271028037382</v>
      </c>
      <c r="DD98" s="325">
        <f t="shared" si="324"/>
        <v>3.2286630208268295E-3</v>
      </c>
      <c r="DE98" s="332">
        <f t="shared" si="324"/>
        <v>3.1382629360535113E-3</v>
      </c>
      <c r="DF98" s="330">
        <f t="shared" si="324"/>
        <v>83.89574766355139</v>
      </c>
      <c r="DG98" s="331">
        <f t="shared" si="324"/>
        <v>3.1272373119650785E-3</v>
      </c>
      <c r="DH98" s="328">
        <f t="shared" si="324"/>
        <v>2.7851150254137313E-3</v>
      </c>
      <c r="DI98" s="329">
        <f t="shared" si="324"/>
        <v>69.914361370716506</v>
      </c>
      <c r="DJ98" s="325">
        <f t="shared" ref="DJ98:EC98" si="325">AVERAGE(DJ96:DJ97)</f>
        <v>2.1632638773162398E-2</v>
      </c>
      <c r="DK98" s="332">
        <f t="shared" si="325"/>
        <v>1.7575954833182923E-2</v>
      </c>
      <c r="DL98" s="332">
        <f t="shared" si="325"/>
        <v>1.8014118481595419E-2</v>
      </c>
      <c r="DM98" s="330">
        <f t="shared" si="325"/>
        <v>427.83498753894082</v>
      </c>
      <c r="DN98" s="331">
        <f>AVERAGE(DN96:DN97)</f>
        <v>1.7056636207322132E-2</v>
      </c>
      <c r="DO98" s="328">
        <f>AVERAGE(DO96:DO97)</f>
        <v>1.3487530619118775E-2</v>
      </c>
      <c r="DP98" s="329">
        <f>AVERAGE(DP96:DP97)</f>
        <v>305.42095327102805</v>
      </c>
      <c r="DQ98" s="325">
        <f t="shared" si="325"/>
        <v>7.0552705141066693E-2</v>
      </c>
      <c r="DR98" s="332">
        <f t="shared" si="325"/>
        <v>6.0289345539912095E-2</v>
      </c>
      <c r="DS98" s="330">
        <f t="shared" si="325"/>
        <v>1463.8940841121494</v>
      </c>
      <c r="DT98" s="331">
        <f t="shared" si="325"/>
        <v>7.1271897945809634E-3</v>
      </c>
      <c r="DU98" s="329">
        <f t="shared" si="325"/>
        <v>183.53618691588784</v>
      </c>
      <c r="DV98" s="325">
        <f t="shared" ref="DV98:DW98" si="326">AVERAGE(DV96:DV97)</f>
        <v>4.1379164336514899E-3</v>
      </c>
      <c r="DW98" s="330">
        <f t="shared" si="326"/>
        <v>110.18770872274143</v>
      </c>
      <c r="DX98" s="325">
        <f t="shared" si="325"/>
        <v>9.6864617631627479E-6</v>
      </c>
      <c r="DY98" s="332">
        <f t="shared" si="325"/>
        <v>8.1213307885849533E-6</v>
      </c>
      <c r="DZ98" s="332">
        <f t="shared" si="325"/>
        <v>8.5139043991951906E-6</v>
      </c>
      <c r="EA98" s="284">
        <f t="shared" si="325"/>
        <v>0.21152647975077882</v>
      </c>
      <c r="EB98" s="334">
        <f t="shared" si="325"/>
        <v>17.5</v>
      </c>
      <c r="EC98" s="279">
        <f t="shared" si="325"/>
        <v>0</v>
      </c>
      <c r="ED98" s="279">
        <f>AVERAGE(ED96:ED97)</f>
        <v>15603.875</v>
      </c>
      <c r="EE98" s="279">
        <f>AVERAGE(EE96:EE97)</f>
        <v>3225.94</v>
      </c>
      <c r="EF98" s="279">
        <f>AVERAGE(EF96:EF97)</f>
        <v>31821.044999999998</v>
      </c>
      <c r="EG98" s="227"/>
    </row>
    <row r="99" spans="1:230" s="5" customFormat="1" ht="13.5" thickTop="1">
      <c r="A99" s="227"/>
      <c r="B99" s="318"/>
      <c r="C99" s="227"/>
      <c r="D99" s="229"/>
      <c r="E99" s="229"/>
      <c r="F99" s="229"/>
      <c r="G99" s="229"/>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229"/>
      <c r="AP99" s="229"/>
      <c r="AQ99" s="229"/>
      <c r="AR99" s="229"/>
      <c r="AS99" s="229"/>
      <c r="AT99" s="229"/>
      <c r="AU99" s="229"/>
      <c r="AV99" s="229"/>
      <c r="AW99" s="229"/>
      <c r="AX99" s="229"/>
      <c r="AY99" s="229"/>
      <c r="AZ99" s="229"/>
      <c r="BA99" s="229"/>
      <c r="BB99" s="229"/>
      <c r="BC99" s="229"/>
      <c r="BD99" s="229"/>
      <c r="BE99" s="229"/>
      <c r="BF99" s="229"/>
      <c r="BG99" s="229"/>
      <c r="BH99" s="335"/>
      <c r="BI99" s="229"/>
      <c r="BJ99" s="227"/>
      <c r="BK99" s="336"/>
      <c r="BL99" s="337"/>
      <c r="BM99" s="338"/>
      <c r="BN99" s="339"/>
      <c r="BO99" s="336"/>
      <c r="BP99" s="337"/>
      <c r="BQ99" s="338"/>
      <c r="BR99" s="339"/>
      <c r="BS99" s="336"/>
      <c r="BT99" s="337"/>
      <c r="BU99" s="338"/>
      <c r="BV99" s="339"/>
      <c r="BW99" s="336"/>
      <c r="BX99" s="337"/>
      <c r="BY99" s="338"/>
      <c r="BZ99" s="339"/>
      <c r="CA99" s="340"/>
      <c r="CB99" s="341"/>
      <c r="CC99" s="338"/>
      <c r="CD99" s="339"/>
      <c r="CE99" s="340"/>
      <c r="CF99" s="340"/>
      <c r="CG99" s="340"/>
      <c r="CH99" s="341"/>
      <c r="CI99" s="338"/>
      <c r="CJ99" s="338"/>
      <c r="CK99" s="338"/>
      <c r="CL99" s="342"/>
      <c r="CM99" s="340"/>
      <c r="CN99" s="340"/>
      <c r="CO99" s="340"/>
      <c r="CP99" s="341"/>
      <c r="CQ99" s="338"/>
      <c r="CR99" s="338"/>
      <c r="CS99" s="338"/>
      <c r="CT99" s="339"/>
      <c r="CU99" s="340"/>
      <c r="CV99" s="340"/>
      <c r="CW99" s="340"/>
      <c r="CX99" s="341"/>
      <c r="CY99" s="338"/>
      <c r="CZ99" s="338"/>
      <c r="DA99" s="339"/>
      <c r="DB99" s="340"/>
      <c r="DC99" s="341"/>
      <c r="DD99" s="338"/>
      <c r="DE99" s="338"/>
      <c r="DF99" s="339"/>
      <c r="DG99" s="340"/>
      <c r="DH99" s="340"/>
      <c r="DI99" s="341"/>
      <c r="DJ99" s="338"/>
      <c r="DK99" s="338"/>
      <c r="DL99" s="338"/>
      <c r="DM99" s="339"/>
      <c r="DN99" s="340"/>
      <c r="DO99" s="340"/>
      <c r="DP99" s="341"/>
      <c r="DQ99" s="338"/>
      <c r="DR99" s="338"/>
      <c r="DS99" s="339"/>
      <c r="DT99" s="340"/>
      <c r="DU99" s="341"/>
      <c r="DV99" s="338"/>
      <c r="DW99" s="339"/>
      <c r="DX99" s="338"/>
      <c r="DY99" s="338"/>
      <c r="DZ99" s="338"/>
      <c r="EA99" s="339"/>
      <c r="EB99" s="343"/>
      <c r="EC99" s="229"/>
      <c r="ED99" s="229"/>
      <c r="EE99" s="229"/>
      <c r="EF99" s="229"/>
      <c r="EG99" s="227"/>
    </row>
    <row r="100" spans="1:230">
      <c r="A100" s="153"/>
      <c r="B100" s="153" t="s">
        <v>181</v>
      </c>
      <c r="C100" s="344" t="s">
        <v>304</v>
      </c>
      <c r="D100" s="345">
        <f t="shared" ref="D100:AI100" si="327">SUM(D4:D7)</f>
        <v>1563240.89</v>
      </c>
      <c r="E100" s="345">
        <f t="shared" si="327"/>
        <v>0</v>
      </c>
      <c r="F100" s="345">
        <f t="shared" si="327"/>
        <v>78805.72</v>
      </c>
      <c r="G100" s="345">
        <f t="shared" si="327"/>
        <v>0</v>
      </c>
      <c r="H100" s="345">
        <f t="shared" si="327"/>
        <v>0</v>
      </c>
      <c r="I100" s="345">
        <f t="shared" si="327"/>
        <v>136044</v>
      </c>
      <c r="J100" s="345">
        <f t="shared" si="327"/>
        <v>96085.14</v>
      </c>
      <c r="K100" s="345">
        <f t="shared" si="327"/>
        <v>21240</v>
      </c>
      <c r="L100" s="345">
        <f t="shared" si="327"/>
        <v>892843.37</v>
      </c>
      <c r="M100" s="345">
        <f t="shared" si="327"/>
        <v>25907.35</v>
      </c>
      <c r="N100" s="345">
        <f t="shared" si="327"/>
        <v>0</v>
      </c>
      <c r="O100" s="345">
        <f t="shared" si="327"/>
        <v>0</v>
      </c>
      <c r="P100" s="345">
        <f t="shared" si="327"/>
        <v>627.20000000000005</v>
      </c>
      <c r="Q100" s="345">
        <f t="shared" si="327"/>
        <v>30287.3</v>
      </c>
      <c r="R100" s="345">
        <f t="shared" si="327"/>
        <v>0</v>
      </c>
      <c r="S100" s="345">
        <f t="shared" si="327"/>
        <v>149294.01</v>
      </c>
      <c r="T100" s="345">
        <f t="shared" si="327"/>
        <v>1036.94</v>
      </c>
      <c r="U100" s="345">
        <f t="shared" si="327"/>
        <v>899.34</v>
      </c>
      <c r="V100" s="345">
        <f t="shared" si="327"/>
        <v>659206.98</v>
      </c>
      <c r="W100" s="345">
        <f t="shared" si="327"/>
        <v>0</v>
      </c>
      <c r="X100" s="345">
        <f t="shared" si="327"/>
        <v>1567350.8800000001</v>
      </c>
      <c r="Y100" s="345">
        <f t="shared" si="327"/>
        <v>85852.65</v>
      </c>
      <c r="Z100" s="345">
        <f t="shared" si="327"/>
        <v>155217.21</v>
      </c>
      <c r="AA100" s="345">
        <f t="shared" si="327"/>
        <v>0</v>
      </c>
      <c r="AB100" s="345">
        <f t="shared" si="327"/>
        <v>121766.79000000001</v>
      </c>
      <c r="AC100" s="345">
        <f t="shared" si="327"/>
        <v>22568.010000000002</v>
      </c>
      <c r="AD100" s="345">
        <f t="shared" si="327"/>
        <v>7052.9900000000007</v>
      </c>
      <c r="AE100" s="345">
        <f t="shared" si="327"/>
        <v>0</v>
      </c>
      <c r="AF100" s="345">
        <f t="shared" si="327"/>
        <v>0</v>
      </c>
      <c r="AG100" s="345">
        <f t="shared" si="327"/>
        <v>18185.34</v>
      </c>
      <c r="AH100" s="345">
        <f t="shared" si="327"/>
        <v>6124.29</v>
      </c>
      <c r="AI100" s="345">
        <f t="shared" si="327"/>
        <v>8935.7099999999991</v>
      </c>
      <c r="AJ100" s="345">
        <f t="shared" ref="AJ100:BI100" si="328">SUM(AJ4:AJ7)</f>
        <v>3957.56</v>
      </c>
      <c r="AK100" s="345">
        <f t="shared" si="328"/>
        <v>26526.85</v>
      </c>
      <c r="AL100" s="345">
        <f t="shared" si="328"/>
        <v>8450.67</v>
      </c>
      <c r="AM100" s="345">
        <f t="shared" si="328"/>
        <v>19758.23</v>
      </c>
      <c r="AN100" s="345">
        <f t="shared" si="328"/>
        <v>46560.090000000004</v>
      </c>
      <c r="AO100" s="345">
        <f t="shared" si="328"/>
        <v>20578.16</v>
      </c>
      <c r="AP100" s="345">
        <f t="shared" si="328"/>
        <v>0</v>
      </c>
      <c r="AQ100" s="345">
        <f t="shared" si="328"/>
        <v>35201.51</v>
      </c>
      <c r="AR100" s="345">
        <f t="shared" si="328"/>
        <v>9139</v>
      </c>
      <c r="AS100" s="345">
        <f t="shared" si="328"/>
        <v>3692.4399999999996</v>
      </c>
      <c r="AT100" s="345">
        <f t="shared" si="328"/>
        <v>25541.66</v>
      </c>
      <c r="AU100" s="345">
        <f t="shared" si="328"/>
        <v>22858.83</v>
      </c>
      <c r="AV100" s="345">
        <f t="shared" si="328"/>
        <v>54950.82</v>
      </c>
      <c r="AW100" s="345">
        <f t="shared" si="328"/>
        <v>51838.5</v>
      </c>
      <c r="AX100" s="345">
        <f t="shared" si="328"/>
        <v>0</v>
      </c>
      <c r="AY100" s="345">
        <f t="shared" si="328"/>
        <v>0</v>
      </c>
      <c r="AZ100" s="345">
        <f t="shared" si="328"/>
        <v>0</v>
      </c>
      <c r="BA100" s="345">
        <f t="shared" si="328"/>
        <v>173176.22</v>
      </c>
      <c r="BB100" s="345">
        <f t="shared" si="328"/>
        <v>29212.51</v>
      </c>
      <c r="BC100" s="345">
        <f t="shared" si="328"/>
        <v>2845980.3100000005</v>
      </c>
      <c r="BD100" s="345">
        <f t="shared" si="328"/>
        <v>2981315.17</v>
      </c>
      <c r="BE100" s="345">
        <f t="shared" si="328"/>
        <v>-135334.85999999929</v>
      </c>
      <c r="BF100" s="345">
        <f t="shared" si="328"/>
        <v>-48825.89</v>
      </c>
      <c r="BG100" s="345">
        <f t="shared" si="328"/>
        <v>-184160.74999999927</v>
      </c>
      <c r="BH100" s="345">
        <f t="shared" si="328"/>
        <v>245.5</v>
      </c>
      <c r="BI100" s="345">
        <f t="shared" si="328"/>
        <v>1642046.6099999999</v>
      </c>
      <c r="BJ100" s="153" t="s">
        <v>181</v>
      </c>
      <c r="BK100" s="346">
        <f t="shared" ref="BK100:CP100" si="329">BK8</f>
        <v>0.28877637977834869</v>
      </c>
      <c r="BL100" s="347">
        <f t="shared" si="329"/>
        <v>3176.7716395519947</v>
      </c>
      <c r="BM100" s="348">
        <f t="shared" si="329"/>
        <v>0</v>
      </c>
      <c r="BN100" s="349">
        <f t="shared" si="329"/>
        <v>0</v>
      </c>
      <c r="BO100" s="346">
        <f t="shared" si="329"/>
        <v>1.7048020462857798E-2</v>
      </c>
      <c r="BP100" s="347">
        <f t="shared" si="329"/>
        <v>182.37192721958797</v>
      </c>
      <c r="BQ100" s="348">
        <f t="shared" si="329"/>
        <v>0</v>
      </c>
      <c r="BR100" s="349">
        <f t="shared" si="329"/>
        <v>0</v>
      </c>
      <c r="BS100" s="346">
        <f t="shared" si="329"/>
        <v>0</v>
      </c>
      <c r="BT100" s="347">
        <f t="shared" si="329"/>
        <v>0</v>
      </c>
      <c r="BU100" s="348">
        <f t="shared" si="329"/>
        <v>1.5806660730055891E-2</v>
      </c>
      <c r="BV100" s="349">
        <f t="shared" si="329"/>
        <v>193.24431818181819</v>
      </c>
      <c r="BW100" s="346">
        <f t="shared" si="329"/>
        <v>1.7899604400085964E-2</v>
      </c>
      <c r="BX100" s="347">
        <f t="shared" si="329"/>
        <v>196.59886976782212</v>
      </c>
      <c r="BY100" s="348">
        <f t="shared" si="329"/>
        <v>0.14598177041860363</v>
      </c>
      <c r="BZ100" s="349">
        <f t="shared" si="329"/>
        <v>1653.4084724493132</v>
      </c>
      <c r="CA100" s="350">
        <f t="shared" si="329"/>
        <v>2.2584143036554697E-4</v>
      </c>
      <c r="CB100" s="351">
        <f t="shared" si="329"/>
        <v>2.2561151079136694</v>
      </c>
      <c r="CC100" s="348">
        <f t="shared" si="329"/>
        <v>7.7744648639470598E-3</v>
      </c>
      <c r="CD100" s="349">
        <f t="shared" si="329"/>
        <v>81.000580240353173</v>
      </c>
      <c r="CE100" s="350">
        <f t="shared" si="329"/>
        <v>0.22713829455187573</v>
      </c>
      <c r="CF100" s="352">
        <f t="shared" si="329"/>
        <v>0.14202449128635364</v>
      </c>
      <c r="CG100" s="352">
        <f t="shared" si="329"/>
        <v>0.13007991068790653</v>
      </c>
      <c r="CH100" s="351">
        <f t="shared" si="329"/>
        <v>1529.1105776855788</v>
      </c>
      <c r="CI100" s="348">
        <f t="shared" si="329"/>
        <v>0.41486474615664337</v>
      </c>
      <c r="CJ100" s="353">
        <f t="shared" si="329"/>
        <v>0.24382185730408662</v>
      </c>
      <c r="CK100" s="353">
        <f t="shared" si="329"/>
        <v>0.23009395475613215</v>
      </c>
      <c r="CL100" s="354">
        <f t="shared" si="329"/>
        <v>2777.1396102436233</v>
      </c>
      <c r="CM100" s="350">
        <f t="shared" si="329"/>
        <v>2.9416703592773322E-2</v>
      </c>
      <c r="CN100" s="352">
        <f t="shared" si="329"/>
        <v>1.8513877195849085E-2</v>
      </c>
      <c r="CO100" s="352">
        <f t="shared" si="329"/>
        <v>1.6904507231340071E-2</v>
      </c>
      <c r="CP100" s="351">
        <f t="shared" si="329"/>
        <v>198.15688409499674</v>
      </c>
      <c r="CQ100" s="348">
        <f t="shared" ref="CQ100:EA100" si="330">CQ8</f>
        <v>5.517220557494365E-2</v>
      </c>
      <c r="CR100" s="353">
        <f t="shared" si="330"/>
        <v>3.5004736294718286E-2</v>
      </c>
      <c r="CS100" s="353">
        <f t="shared" si="330"/>
        <v>3.184033331751765E-2</v>
      </c>
      <c r="CT100" s="349">
        <f t="shared" si="330"/>
        <v>371.93553905739043</v>
      </c>
      <c r="CU100" s="350">
        <f t="shared" si="330"/>
        <v>0.75645203653193405</v>
      </c>
      <c r="CV100" s="352">
        <f t="shared" si="330"/>
        <v>0.45758791483544925</v>
      </c>
      <c r="CW100" s="352">
        <f t="shared" si="330"/>
        <v>0.42580387459690355</v>
      </c>
      <c r="CX100" s="351">
        <f t="shared" si="330"/>
        <v>5076.9098551953903</v>
      </c>
      <c r="CY100" s="348">
        <f t="shared" si="330"/>
        <v>4.4646745742056102E-3</v>
      </c>
      <c r="CZ100" s="353">
        <f t="shared" si="330"/>
        <v>2.44549853456649E-3</v>
      </c>
      <c r="DA100" s="349">
        <f t="shared" si="330"/>
        <v>29.822325662197514</v>
      </c>
      <c r="DB100" s="350">
        <f t="shared" si="330"/>
        <v>7.3242089790038145E-4</v>
      </c>
      <c r="DC100" s="351">
        <f t="shared" si="330"/>
        <v>8.6332151324395028</v>
      </c>
      <c r="DD100" s="348">
        <f t="shared" si="330"/>
        <v>7.8467972167520026E-3</v>
      </c>
      <c r="DE100" s="353">
        <f t="shared" si="330"/>
        <v>4.4247009993435681E-3</v>
      </c>
      <c r="DF100" s="349">
        <f t="shared" si="330"/>
        <v>52.679928670699809</v>
      </c>
      <c r="DG100" s="350">
        <f t="shared" si="330"/>
        <v>5.5852033269140275E-3</v>
      </c>
      <c r="DH100" s="352">
        <f t="shared" si="330"/>
        <v>3.1289802311627772E-3</v>
      </c>
      <c r="DI100" s="351">
        <f t="shared" si="330"/>
        <v>37.453613881621976</v>
      </c>
      <c r="DJ100" s="348">
        <f t="shared" si="330"/>
        <v>1.2484466646942468E-2</v>
      </c>
      <c r="DK100" s="353">
        <f t="shared" si="330"/>
        <v>7.3666639255214831E-3</v>
      </c>
      <c r="DL100" s="353">
        <f t="shared" si="330"/>
        <v>6.9383092819670904E-3</v>
      </c>
      <c r="DM100" s="349">
        <f t="shared" si="330"/>
        <v>83.601768823577515</v>
      </c>
      <c r="DN100" s="350">
        <f t="shared" si="330"/>
        <v>9.7871791319285011E-3</v>
      </c>
      <c r="DO100" s="352">
        <f t="shared" si="330"/>
        <v>5.4695590527361242E-3</v>
      </c>
      <c r="DP100" s="351">
        <f t="shared" si="330"/>
        <v>65.6031498324068</v>
      </c>
      <c r="DQ100" s="348">
        <f t="shared" si="330"/>
        <v>2.3776733410014725E-2</v>
      </c>
      <c r="DR100" s="353">
        <f t="shared" si="330"/>
        <v>1.4000063840281003E-2</v>
      </c>
      <c r="DS100" s="349">
        <f t="shared" si="330"/>
        <v>160.87260505232177</v>
      </c>
      <c r="DT100" s="355">
        <f t="shared" si="330"/>
        <v>5.5402556551409935E-3</v>
      </c>
      <c r="DU100" s="351">
        <f t="shared" si="330"/>
        <v>64.423252738718105</v>
      </c>
      <c r="DV100" s="356">
        <f t="shared" ref="DV100:DW100" si="331">DV8</f>
        <v>1.5274329380471135E-3</v>
      </c>
      <c r="DW100" s="349">
        <f t="shared" si="331"/>
        <v>18.141012814748201</v>
      </c>
      <c r="DX100" s="348">
        <f t="shared" si="330"/>
        <v>0</v>
      </c>
      <c r="DY100" s="353">
        <f t="shared" si="330"/>
        <v>0</v>
      </c>
      <c r="DZ100" s="353">
        <f t="shared" si="330"/>
        <v>0</v>
      </c>
      <c r="EA100" s="349">
        <f t="shared" si="330"/>
        <v>0</v>
      </c>
      <c r="EB100" s="357">
        <f>SUM(EB4:EB7)</f>
        <v>0</v>
      </c>
      <c r="EC100" s="345">
        <f>SUM(EC4:EC7)</f>
        <v>899.34</v>
      </c>
      <c r="ED100" s="345">
        <f>SUM(ED4:ED7)</f>
        <v>0</v>
      </c>
      <c r="EE100" s="345">
        <f>SUM(EE4:EE7)</f>
        <v>0</v>
      </c>
      <c r="EF100" s="345">
        <f>SUM(EF4:EF7)</f>
        <v>0</v>
      </c>
      <c r="EG100" s="153"/>
    </row>
    <row r="101" spans="1:230">
      <c r="A101" s="153"/>
      <c r="B101" s="153" t="s">
        <v>183</v>
      </c>
      <c r="C101" s="344" t="s">
        <v>305</v>
      </c>
      <c r="D101" s="345">
        <f t="shared" ref="D101:AI101" si="332">SUM(D9:D81)</f>
        <v>122570054.81</v>
      </c>
      <c r="E101" s="345">
        <f t="shared" si="332"/>
        <v>0</v>
      </c>
      <c r="F101" s="345">
        <f t="shared" si="332"/>
        <v>7216436.6100000022</v>
      </c>
      <c r="G101" s="345">
        <f t="shared" si="332"/>
        <v>0</v>
      </c>
      <c r="H101" s="345">
        <f t="shared" si="332"/>
        <v>7006155.129999998</v>
      </c>
      <c r="I101" s="345">
        <f t="shared" si="332"/>
        <v>765120.74</v>
      </c>
      <c r="J101" s="345">
        <f t="shared" si="332"/>
        <v>688403.72000000009</v>
      </c>
      <c r="K101" s="345">
        <f t="shared" si="332"/>
        <v>1178176.67</v>
      </c>
      <c r="L101" s="345">
        <f t="shared" si="332"/>
        <v>2991317.5200000005</v>
      </c>
      <c r="M101" s="345">
        <f t="shared" si="332"/>
        <v>2139925.3299999996</v>
      </c>
      <c r="N101" s="345">
        <f t="shared" si="332"/>
        <v>203548.33000000002</v>
      </c>
      <c r="O101" s="345">
        <f t="shared" si="332"/>
        <v>32423.25</v>
      </c>
      <c r="P101" s="345">
        <f t="shared" si="332"/>
        <v>1383276.67</v>
      </c>
      <c r="Q101" s="345">
        <f t="shared" si="332"/>
        <v>5156850.0100000007</v>
      </c>
      <c r="R101" s="345">
        <f t="shared" si="332"/>
        <v>0</v>
      </c>
      <c r="S101" s="345">
        <f t="shared" si="332"/>
        <v>728804</v>
      </c>
      <c r="T101" s="345">
        <f t="shared" si="332"/>
        <v>-10910.47</v>
      </c>
      <c r="U101" s="345">
        <f t="shared" si="332"/>
        <v>6255750.0199999996</v>
      </c>
      <c r="V101" s="345">
        <f t="shared" si="332"/>
        <v>72192772.219999984</v>
      </c>
      <c r="W101" s="345">
        <f t="shared" si="332"/>
        <v>199911.94</v>
      </c>
      <c r="X101" s="345">
        <f t="shared" si="332"/>
        <v>32434591.270000003</v>
      </c>
      <c r="Y101" s="345">
        <f t="shared" si="332"/>
        <v>3882773.56</v>
      </c>
      <c r="Z101" s="345">
        <f t="shared" si="332"/>
        <v>6749119.299999998</v>
      </c>
      <c r="AA101" s="345">
        <f t="shared" si="332"/>
        <v>413602.83999999997</v>
      </c>
      <c r="AB101" s="345">
        <f t="shared" si="332"/>
        <v>4004051.8000000012</v>
      </c>
      <c r="AC101" s="345">
        <f t="shared" si="332"/>
        <v>1011225.48</v>
      </c>
      <c r="AD101" s="345">
        <f t="shared" si="332"/>
        <v>387119.42999999993</v>
      </c>
      <c r="AE101" s="345">
        <f t="shared" si="332"/>
        <v>357402.84999999992</v>
      </c>
      <c r="AF101" s="345">
        <f t="shared" si="332"/>
        <v>45121.700000000004</v>
      </c>
      <c r="AG101" s="345">
        <f t="shared" si="332"/>
        <v>1683939.7299999993</v>
      </c>
      <c r="AH101" s="345">
        <f t="shared" si="332"/>
        <v>339740.76</v>
      </c>
      <c r="AI101" s="345">
        <f t="shared" si="332"/>
        <v>2007034.7799999996</v>
      </c>
      <c r="AJ101" s="345">
        <f t="shared" ref="AJ101:BI101" si="333">SUM(AJ9:AJ81)</f>
        <v>359213.37</v>
      </c>
      <c r="AK101" s="345">
        <f t="shared" si="333"/>
        <v>2151742.7899999996</v>
      </c>
      <c r="AL101" s="345">
        <f t="shared" si="333"/>
        <v>1615439.2999999996</v>
      </c>
      <c r="AM101" s="345">
        <f t="shared" si="333"/>
        <v>1253244.32</v>
      </c>
      <c r="AN101" s="345">
        <f t="shared" si="333"/>
        <v>4582754.2</v>
      </c>
      <c r="AO101" s="345">
        <f t="shared" si="333"/>
        <v>1115051.78</v>
      </c>
      <c r="AP101" s="345">
        <f t="shared" si="333"/>
        <v>0</v>
      </c>
      <c r="AQ101" s="345">
        <f t="shared" si="333"/>
        <v>1245243.4399999997</v>
      </c>
      <c r="AR101" s="345">
        <f t="shared" si="333"/>
        <v>795904.59000000008</v>
      </c>
      <c r="AS101" s="345">
        <f t="shared" si="333"/>
        <v>823183.83000000007</v>
      </c>
      <c r="AT101" s="345">
        <f t="shared" si="333"/>
        <v>6265833.3700000001</v>
      </c>
      <c r="AU101" s="345">
        <f t="shared" si="333"/>
        <v>3509117.0399999996</v>
      </c>
      <c r="AV101" s="345">
        <f t="shared" si="333"/>
        <v>6973302.9900000002</v>
      </c>
      <c r="AW101" s="345">
        <f t="shared" si="333"/>
        <v>2673263.7299999995</v>
      </c>
      <c r="AX101" s="345">
        <f t="shared" si="333"/>
        <v>21213.5</v>
      </c>
      <c r="AY101" s="345">
        <f t="shared" si="333"/>
        <v>0</v>
      </c>
      <c r="AZ101" s="345">
        <f t="shared" si="333"/>
        <v>278323.63</v>
      </c>
      <c r="BA101" s="345">
        <f t="shared" si="333"/>
        <v>509200.09000000008</v>
      </c>
      <c r="BB101" s="345">
        <f t="shared" si="333"/>
        <v>142667.28</v>
      </c>
      <c r="BC101" s="345">
        <f t="shared" si="333"/>
        <v>157587438.81000003</v>
      </c>
      <c r="BD101" s="345">
        <f t="shared" si="333"/>
        <v>159371239.54000002</v>
      </c>
      <c r="BE101" s="345">
        <f t="shared" si="333"/>
        <v>-1783800.7299999963</v>
      </c>
      <c r="BF101" s="345">
        <f t="shared" si="333"/>
        <v>7699139.3000000017</v>
      </c>
      <c r="BG101" s="345">
        <f t="shared" si="333"/>
        <v>5915338.570000005</v>
      </c>
      <c r="BH101" s="345">
        <f t="shared" si="333"/>
        <v>24759</v>
      </c>
      <c r="BI101" s="345">
        <f t="shared" si="333"/>
        <v>129786491.41999997</v>
      </c>
      <c r="BJ101" s="153" t="s">
        <v>183</v>
      </c>
      <c r="BK101" s="358">
        <f t="shared" ref="BK101:CP101" si="334">BK82</f>
        <v>0.77943244623124019</v>
      </c>
      <c r="BL101" s="359">
        <f t="shared" si="334"/>
        <v>4958.6541319873295</v>
      </c>
      <c r="BM101" s="360">
        <f t="shared" si="334"/>
        <v>0</v>
      </c>
      <c r="BN101" s="361">
        <f t="shared" si="334"/>
        <v>0</v>
      </c>
      <c r="BO101" s="358">
        <f t="shared" si="334"/>
        <v>4.3094375723096358E-2</v>
      </c>
      <c r="BP101" s="359">
        <f t="shared" si="334"/>
        <v>288.9245572970849</v>
      </c>
      <c r="BQ101" s="360">
        <f t="shared" si="334"/>
        <v>0</v>
      </c>
      <c r="BR101" s="361">
        <f t="shared" si="334"/>
        <v>0</v>
      </c>
      <c r="BS101" s="358">
        <f t="shared" si="334"/>
        <v>4.0777947642111498E-2</v>
      </c>
      <c r="BT101" s="359">
        <f t="shared" si="334"/>
        <v>265.22267388111442</v>
      </c>
      <c r="BU101" s="360">
        <f t="shared" si="334"/>
        <v>5.261756839088058E-3</v>
      </c>
      <c r="BV101" s="361">
        <f t="shared" si="334"/>
        <v>35.609848322533182</v>
      </c>
      <c r="BW101" s="358">
        <f t="shared" si="334"/>
        <v>4.9705134603222527E-3</v>
      </c>
      <c r="BX101" s="359">
        <f t="shared" si="334"/>
        <v>32.801694886704063</v>
      </c>
      <c r="BY101" s="360">
        <f t="shared" si="334"/>
        <v>2.6537979335133292E-2</v>
      </c>
      <c r="BZ101" s="361">
        <f t="shared" si="334"/>
        <v>168.17123954989651</v>
      </c>
      <c r="CA101" s="362">
        <f t="shared" si="334"/>
        <v>9.8577962973715096E-3</v>
      </c>
      <c r="CB101" s="363">
        <f t="shared" si="334"/>
        <v>61.596097902148074</v>
      </c>
      <c r="CC101" s="360">
        <f t="shared" si="334"/>
        <v>3.2968255306942904E-2</v>
      </c>
      <c r="CD101" s="361">
        <f t="shared" si="334"/>
        <v>233.89577278807363</v>
      </c>
      <c r="CE101" s="362">
        <f t="shared" si="334"/>
        <v>0.59980516353742941</v>
      </c>
      <c r="CF101" s="364">
        <f t="shared" si="334"/>
        <v>0.49108021677169722</v>
      </c>
      <c r="CG101" s="364">
        <f t="shared" si="334"/>
        <v>0.48440498643039909</v>
      </c>
      <c r="CH101" s="363">
        <f t="shared" si="334"/>
        <v>3126.0307225712913</v>
      </c>
      <c r="CI101" s="360">
        <f t="shared" si="334"/>
        <v>0.24023293650684813</v>
      </c>
      <c r="CJ101" s="365">
        <f t="shared" si="334"/>
        <v>0.19539561357795454</v>
      </c>
      <c r="CK101" s="365">
        <f t="shared" si="334"/>
        <v>0.19284826237167177</v>
      </c>
      <c r="CL101" s="366">
        <f t="shared" si="334"/>
        <v>1269.5905310476746</v>
      </c>
      <c r="CM101" s="362">
        <f t="shared" si="334"/>
        <v>2.9707915791798326E-2</v>
      </c>
      <c r="CN101" s="364">
        <f t="shared" si="334"/>
        <v>2.4573976778418348E-2</v>
      </c>
      <c r="CO101" s="364">
        <f t="shared" si="334"/>
        <v>2.4218777980356231E-2</v>
      </c>
      <c r="CP101" s="363">
        <f t="shared" si="334"/>
        <v>156.86125849234838</v>
      </c>
      <c r="CQ101" s="360">
        <f t="shared" ref="CQ101:EA101" si="335">CQ82</f>
        <v>5.4092677638896178E-2</v>
      </c>
      <c r="CR101" s="365">
        <f t="shared" si="335"/>
        <v>4.3894740507931282E-2</v>
      </c>
      <c r="CS101" s="365">
        <f t="shared" si="335"/>
        <v>4.3326233429807653E-2</v>
      </c>
      <c r="CT101" s="361">
        <f t="shared" si="335"/>
        <v>279.78771607006058</v>
      </c>
      <c r="CU101" s="362">
        <f t="shared" si="335"/>
        <v>0.92970287539104857</v>
      </c>
      <c r="CV101" s="364">
        <f t="shared" si="335"/>
        <v>0.75985011049812534</v>
      </c>
      <c r="CW101" s="364">
        <f t="shared" si="335"/>
        <v>0.74958897429426286</v>
      </c>
      <c r="CX101" s="363">
        <f t="shared" si="335"/>
        <v>4864.5905358164428</v>
      </c>
      <c r="CY101" s="360">
        <f t="shared" si="335"/>
        <v>1.3379344326096606E-2</v>
      </c>
      <c r="CZ101" s="365">
        <f t="shared" si="335"/>
        <v>1.0732173827375045E-2</v>
      </c>
      <c r="DA101" s="361">
        <f t="shared" si="335"/>
        <v>70.349035695590359</v>
      </c>
      <c r="DB101" s="362">
        <f t="shared" si="335"/>
        <v>2.1959164626461254E-3</v>
      </c>
      <c r="DC101" s="363">
        <f t="shared" si="335"/>
        <v>14.203228167409861</v>
      </c>
      <c r="DD101" s="360">
        <f t="shared" si="335"/>
        <v>1.6738271535683358E-2</v>
      </c>
      <c r="DE101" s="365">
        <f t="shared" si="335"/>
        <v>1.353801625311596E-2</v>
      </c>
      <c r="DF101" s="361">
        <f t="shared" si="335"/>
        <v>87.150753153506457</v>
      </c>
      <c r="DG101" s="362">
        <f t="shared" si="335"/>
        <v>1.1128807636964916E-2</v>
      </c>
      <c r="DH101" s="364">
        <f t="shared" si="335"/>
        <v>8.4298873709471658E-3</v>
      </c>
      <c r="DI101" s="363">
        <f t="shared" si="335"/>
        <v>55.525120877135656</v>
      </c>
      <c r="DJ101" s="360">
        <f t="shared" si="335"/>
        <v>3.6696879848732745E-2</v>
      </c>
      <c r="DK101" s="365">
        <f t="shared" si="335"/>
        <v>2.9690381836053333E-2</v>
      </c>
      <c r="DL101" s="365">
        <f t="shared" si="335"/>
        <v>2.9447167924137492E-2</v>
      </c>
      <c r="DM101" s="361">
        <f t="shared" si="335"/>
        <v>189.79946541572798</v>
      </c>
      <c r="DN101" s="362">
        <f t="shared" si="335"/>
        <v>9.411525883740255E-3</v>
      </c>
      <c r="DO101" s="364">
        <f t="shared" si="335"/>
        <v>7.5869550585384053E-3</v>
      </c>
      <c r="DP101" s="363">
        <f t="shared" si="335"/>
        <v>49.156339224876497</v>
      </c>
      <c r="DQ101" s="360">
        <f t="shared" si="335"/>
        <v>5.3838690650911195E-2</v>
      </c>
      <c r="DR101" s="365">
        <f t="shared" si="335"/>
        <v>4.4009540950698658E-2</v>
      </c>
      <c r="DS101" s="361">
        <f t="shared" si="335"/>
        <v>284.67120897882165</v>
      </c>
      <c r="DT101" s="367">
        <f t="shared" si="335"/>
        <v>3.9973029814760586E-2</v>
      </c>
      <c r="DU101" s="363">
        <f t="shared" si="335"/>
        <v>255.1206102805177</v>
      </c>
      <c r="DV101" s="368">
        <f t="shared" ref="DV101:DW101" si="336">DV82</f>
        <v>1.3106113333370268E-2</v>
      </c>
      <c r="DW101" s="361">
        <f t="shared" si="336"/>
        <v>84.734259537585658</v>
      </c>
      <c r="DX101" s="360">
        <f t="shared" si="335"/>
        <v>3.4485198214946212E-5</v>
      </c>
      <c r="DY101" s="365">
        <f t="shared" si="335"/>
        <v>2.892386808091278E-5</v>
      </c>
      <c r="DZ101" s="365">
        <f t="shared" si="335"/>
        <v>2.8599673034883987E-5</v>
      </c>
      <c r="EA101" s="361">
        <f t="shared" si="335"/>
        <v>0.18865123298611675</v>
      </c>
      <c r="EB101" s="369">
        <f>SUM(EB9:EB81)</f>
        <v>5004</v>
      </c>
      <c r="EC101" s="345">
        <f>SUM(EC9:EC81)</f>
        <v>4762.07</v>
      </c>
      <c r="ED101" s="345">
        <f>SUM(ED9:ED81)</f>
        <v>178515.80999999997</v>
      </c>
      <c r="EE101" s="345">
        <f>SUM(EE9:EE81)</f>
        <v>1105720.5999999999</v>
      </c>
      <c r="EF101" s="345">
        <f>SUM(EF9:EF81)</f>
        <v>4966751.54</v>
      </c>
      <c r="EG101" s="153"/>
    </row>
    <row r="102" spans="1:230">
      <c r="A102" s="153"/>
      <c r="B102" s="370" t="s">
        <v>318</v>
      </c>
      <c r="C102" s="344" t="s">
        <v>368</v>
      </c>
      <c r="D102" s="345">
        <f>D84</f>
        <v>8344058.6900000004</v>
      </c>
      <c r="E102" s="345">
        <f t="shared" ref="E102:CD102" si="337">E84</f>
        <v>399027.98</v>
      </c>
      <c r="F102" s="345">
        <f t="shared" si="337"/>
        <v>253222.18</v>
      </c>
      <c r="G102" s="345">
        <f t="shared" si="337"/>
        <v>0</v>
      </c>
      <c r="H102" s="345">
        <f t="shared" si="337"/>
        <v>529650.03</v>
      </c>
      <c r="I102" s="345">
        <f t="shared" si="337"/>
        <v>1500</v>
      </c>
      <c r="J102" s="345">
        <f t="shared" si="337"/>
        <v>17168.75</v>
      </c>
      <c r="K102" s="345">
        <f t="shared" si="337"/>
        <v>26154.36</v>
      </c>
      <c r="L102" s="345">
        <f t="shared" si="337"/>
        <v>60588.46</v>
      </c>
      <c r="M102" s="345">
        <f t="shared" si="337"/>
        <v>205401.39</v>
      </c>
      <c r="N102" s="345">
        <f t="shared" si="337"/>
        <v>0</v>
      </c>
      <c r="O102" s="345">
        <f t="shared" si="337"/>
        <v>0</v>
      </c>
      <c r="P102" s="345">
        <f t="shared" si="337"/>
        <v>12456.69</v>
      </c>
      <c r="Q102" s="345">
        <f t="shared" si="337"/>
        <v>10849.41</v>
      </c>
      <c r="R102" s="345">
        <f t="shared" si="337"/>
        <v>0</v>
      </c>
      <c r="S102" s="345">
        <f t="shared" si="337"/>
        <v>0</v>
      </c>
      <c r="T102" s="345">
        <f t="shared" si="337"/>
        <v>0</v>
      </c>
      <c r="U102" s="345">
        <f t="shared" si="337"/>
        <v>277337.36</v>
      </c>
      <c r="V102" s="345">
        <f t="shared" si="337"/>
        <v>5245359.7300000004</v>
      </c>
      <c r="W102" s="345">
        <f t="shared" si="337"/>
        <v>0</v>
      </c>
      <c r="X102" s="345">
        <f t="shared" si="337"/>
        <v>1101677.72</v>
      </c>
      <c r="Y102" s="345">
        <f t="shared" si="337"/>
        <v>215025.46</v>
      </c>
      <c r="Z102" s="345">
        <f t="shared" si="337"/>
        <v>676298.01</v>
      </c>
      <c r="AA102" s="345">
        <f t="shared" si="337"/>
        <v>0</v>
      </c>
      <c r="AB102" s="345">
        <f t="shared" si="337"/>
        <v>82706.86</v>
      </c>
      <c r="AC102" s="345">
        <f t="shared" si="337"/>
        <v>157364.97</v>
      </c>
      <c r="AD102" s="345">
        <f t="shared" si="337"/>
        <v>20582.8</v>
      </c>
      <c r="AE102" s="345">
        <f t="shared" si="337"/>
        <v>2248.52</v>
      </c>
      <c r="AF102" s="345">
        <f t="shared" si="337"/>
        <v>100</v>
      </c>
      <c r="AG102" s="345">
        <f t="shared" si="337"/>
        <v>58006.83</v>
      </c>
      <c r="AH102" s="345">
        <f t="shared" si="337"/>
        <v>15148.75</v>
      </c>
      <c r="AI102" s="345">
        <f t="shared" si="337"/>
        <v>165144.04</v>
      </c>
      <c r="AJ102" s="345">
        <f t="shared" si="337"/>
        <v>29433.599999999999</v>
      </c>
      <c r="AK102" s="345">
        <f t="shared" si="337"/>
        <v>127265.95</v>
      </c>
      <c r="AL102" s="345">
        <f t="shared" si="337"/>
        <v>43198.400000000001</v>
      </c>
      <c r="AM102" s="345">
        <f t="shared" si="337"/>
        <v>59357.84</v>
      </c>
      <c r="AN102" s="345">
        <f t="shared" si="337"/>
        <v>213596.78</v>
      </c>
      <c r="AO102" s="345">
        <f t="shared" si="337"/>
        <v>84116.69</v>
      </c>
      <c r="AP102" s="345">
        <f t="shared" si="337"/>
        <v>48753.2</v>
      </c>
      <c r="AQ102" s="345">
        <f t="shared" si="337"/>
        <v>102045.41</v>
      </c>
      <c r="AR102" s="345">
        <f t="shared" si="337"/>
        <v>43993.77</v>
      </c>
      <c r="AS102" s="345">
        <f t="shared" si="337"/>
        <v>37143.269999999997</v>
      </c>
      <c r="AT102" s="345">
        <f t="shared" si="337"/>
        <v>381177.55</v>
      </c>
      <c r="AU102" s="345">
        <f t="shared" si="337"/>
        <v>423193.49</v>
      </c>
      <c r="AV102" s="345">
        <f t="shared" si="337"/>
        <v>407080.07</v>
      </c>
      <c r="AW102" s="345">
        <f t="shared" si="337"/>
        <v>107617.36</v>
      </c>
      <c r="AX102" s="345">
        <f t="shared" si="337"/>
        <v>0</v>
      </c>
      <c r="AY102" s="345">
        <f t="shared" si="337"/>
        <v>0</v>
      </c>
      <c r="AZ102" s="345">
        <f t="shared" si="337"/>
        <v>53620.98</v>
      </c>
      <c r="BA102" s="345">
        <f t="shared" si="337"/>
        <v>0</v>
      </c>
      <c r="BB102" s="345">
        <f t="shared" si="337"/>
        <v>0</v>
      </c>
      <c r="BC102" s="345">
        <f t="shared" si="337"/>
        <v>10137415.299999999</v>
      </c>
      <c r="BD102" s="345">
        <f t="shared" si="337"/>
        <v>9901258.0500000007</v>
      </c>
      <c r="BE102" s="345">
        <f t="shared" si="337"/>
        <v>236157.24999999814</v>
      </c>
      <c r="BF102" s="345">
        <f t="shared" si="337"/>
        <v>1028875</v>
      </c>
      <c r="BG102" s="345">
        <f t="shared" si="337"/>
        <v>1265032.2499999981</v>
      </c>
      <c r="BH102" s="345">
        <f t="shared" si="337"/>
        <v>1567</v>
      </c>
      <c r="BI102" s="345">
        <f t="shared" si="337"/>
        <v>8996308.8499999996</v>
      </c>
      <c r="BJ102" s="371" t="str">
        <f t="shared" si="337"/>
        <v>A</v>
      </c>
      <c r="BK102" s="372">
        <f>BK84</f>
        <v>0.82309528051001335</v>
      </c>
      <c r="BL102" s="373">
        <f t="shared" si="337"/>
        <v>5324.8619591576262</v>
      </c>
      <c r="BM102" s="374">
        <f>BM84</f>
        <v>3.9361905198852812E-2</v>
      </c>
      <c r="BN102" s="375">
        <f t="shared" si="337"/>
        <v>254.64453095086151</v>
      </c>
      <c r="BO102" s="372">
        <f>BO84</f>
        <v>2.4978968751531765E-2</v>
      </c>
      <c r="BP102" s="373">
        <f t="shared" si="337"/>
        <v>161.59679642629229</v>
      </c>
      <c r="BQ102" s="374">
        <f>BQ84</f>
        <v>0</v>
      </c>
      <c r="BR102" s="375">
        <f t="shared" si="337"/>
        <v>0</v>
      </c>
      <c r="BS102" s="372">
        <f>BS84</f>
        <v>5.2247048614058468E-2</v>
      </c>
      <c r="BT102" s="373">
        <f t="shared" si="337"/>
        <v>338.00257179323552</v>
      </c>
      <c r="BU102" s="374">
        <f>BU84</f>
        <v>1.479667110017679E-4</v>
      </c>
      <c r="BV102" s="375">
        <f t="shared" si="337"/>
        <v>0.95724313975749842</v>
      </c>
      <c r="BW102" s="372">
        <f>BW84</f>
        <v>1.693602313007735E-3</v>
      </c>
      <c r="BX102" s="373">
        <f t="shared" si="337"/>
        <v>10.956445437141033</v>
      </c>
      <c r="BY102" s="374">
        <f>BY84</f>
        <v>8.5566998522789151E-3</v>
      </c>
      <c r="BZ102" s="375">
        <f t="shared" si="337"/>
        <v>55.35597957881302</v>
      </c>
      <c r="CA102" s="372">
        <f>CA84</f>
        <v>1.2287836328457415E-3</v>
      </c>
      <c r="CB102" s="373">
        <f t="shared" si="337"/>
        <v>7.9493873643905557</v>
      </c>
      <c r="CC102" s="374">
        <f>CC84</f>
        <v>1.0702343426731271E-3</v>
      </c>
      <c r="CD102" s="375">
        <f t="shared" si="337"/>
        <v>6.9236821952776006</v>
      </c>
      <c r="CE102" s="372">
        <f t="shared" ref="CE102:EC102" si="338">CE84</f>
        <v>0.63009766722270777</v>
      </c>
      <c r="CF102" s="376">
        <f t="shared" si="338"/>
        <v>0.55917145073458729</v>
      </c>
      <c r="CG102" s="376">
        <f t="shared" si="338"/>
        <v>0.57250838139704885</v>
      </c>
      <c r="CH102" s="373">
        <f t="shared" si="338"/>
        <v>3617.4557881301853</v>
      </c>
      <c r="CI102" s="374">
        <f t="shared" si="338"/>
        <v>0.12245885933540399</v>
      </c>
      <c r="CJ102" s="377">
        <f t="shared" si="338"/>
        <v>0.10867441920821772</v>
      </c>
      <c r="CK102" s="377">
        <f t="shared" si="338"/>
        <v>0.11126643851081125</v>
      </c>
      <c r="CL102" s="378">
        <f t="shared" si="338"/>
        <v>703.04895979578816</v>
      </c>
      <c r="CM102" s="372">
        <f t="shared" si="338"/>
        <v>2.3901520455247599E-2</v>
      </c>
      <c r="CN102" s="376">
        <f t="shared" si="338"/>
        <v>2.1211073398561466E-2</v>
      </c>
      <c r="CO102" s="376">
        <f t="shared" si="338"/>
        <v>2.1716983732183403E-2</v>
      </c>
      <c r="CP102" s="373">
        <f t="shared" si="338"/>
        <v>137.22109763880025</v>
      </c>
      <c r="CQ102" s="374">
        <f t="shared" si="338"/>
        <v>7.5175054711466474E-2</v>
      </c>
      <c r="CR102" s="377">
        <f t="shared" si="338"/>
        <v>6.6713061464493822E-2</v>
      </c>
      <c r="CS102" s="377">
        <f t="shared" si="338"/>
        <v>6.8304250488653809E-2</v>
      </c>
      <c r="CT102" s="375">
        <f t="shared" si="338"/>
        <v>431.58775366943206</v>
      </c>
      <c r="CU102" s="372">
        <f t="shared" si="338"/>
        <v>0.81378573168928059</v>
      </c>
      <c r="CV102" s="376">
        <f t="shared" si="338"/>
        <v>0.72218288028507627</v>
      </c>
      <c r="CW102" s="376">
        <f t="shared" si="338"/>
        <v>0.73940783514878694</v>
      </c>
      <c r="CX102" s="373">
        <f t="shared" si="338"/>
        <v>4672.027938736439</v>
      </c>
      <c r="CY102" s="374">
        <f t="shared" si="338"/>
        <v>6.4478477748126668E-3</v>
      </c>
      <c r="CZ102" s="377">
        <f t="shared" si="338"/>
        <v>5.8585312802750351E-3</v>
      </c>
      <c r="DA102" s="375">
        <f t="shared" si="338"/>
        <v>37.017760051052967</v>
      </c>
      <c r="DB102" s="372">
        <f t="shared" si="338"/>
        <v>2.9727131493154039E-3</v>
      </c>
      <c r="DC102" s="373">
        <f t="shared" si="338"/>
        <v>18.783407785577534</v>
      </c>
      <c r="DD102" s="374">
        <f t="shared" si="338"/>
        <v>1.4146462968531811E-2</v>
      </c>
      <c r="DE102" s="377">
        <f t="shared" si="338"/>
        <v>1.2853513094732441E-2</v>
      </c>
      <c r="DF102" s="375">
        <f t="shared" si="338"/>
        <v>81.216305041480538</v>
      </c>
      <c r="DG102" s="372">
        <f t="shared" si="338"/>
        <v>6.5980215874869609E-3</v>
      </c>
      <c r="DH102" s="376">
        <f t="shared" si="338"/>
        <v>5.9949795975674011E-3</v>
      </c>
      <c r="DI102" s="373">
        <f t="shared" si="338"/>
        <v>37.87992342054882</v>
      </c>
      <c r="DJ102" s="374">
        <f t="shared" si="338"/>
        <v>2.3742713101718379E-2</v>
      </c>
      <c r="DK102" s="377">
        <f t="shared" si="338"/>
        <v>2.1070142011445463E-2</v>
      </c>
      <c r="DL102" s="377">
        <f t="shared" si="338"/>
        <v>2.1572690957185989E-2</v>
      </c>
      <c r="DM102" s="375">
        <f t="shared" si="338"/>
        <v>136.30936821952776</v>
      </c>
      <c r="DN102" s="372">
        <f t="shared" si="338"/>
        <v>1.1343030980978382E-2</v>
      </c>
      <c r="DO102" s="376">
        <f t="shared" si="338"/>
        <v>1.0306307489885086E-2</v>
      </c>
      <c r="DP102" s="373">
        <f t="shared" si="338"/>
        <v>65.121512444160814</v>
      </c>
      <c r="DQ102" s="374">
        <f t="shared" si="338"/>
        <v>4.5249677038377803E-2</v>
      </c>
      <c r="DR102" s="377">
        <f t="shared" si="338"/>
        <v>4.1113974400455097E-2</v>
      </c>
      <c r="DS102" s="375">
        <f t="shared" si="338"/>
        <v>259.78306955966815</v>
      </c>
      <c r="DT102" s="372">
        <f t="shared" si="338"/>
        <v>3.8497890679659641E-2</v>
      </c>
      <c r="DU102" s="373">
        <f t="shared" si="338"/>
        <v>243.25306317804723</v>
      </c>
      <c r="DV102" s="374">
        <f t="shared" ref="DV102:DW102" si="339">DV84</f>
        <v>1.6679096652773329E-2</v>
      </c>
      <c r="DW102" s="375">
        <f t="shared" si="339"/>
        <v>105.38866624122528</v>
      </c>
      <c r="DX102" s="374">
        <f t="shared" si="338"/>
        <v>5.2465962192927602E-5</v>
      </c>
      <c r="DY102" s="377">
        <f t="shared" si="338"/>
        <v>4.6560191728556298E-5</v>
      </c>
      <c r="DZ102" s="377">
        <f t="shared" si="338"/>
        <v>4.767070988519484E-5</v>
      </c>
      <c r="EA102" s="375">
        <f t="shared" si="338"/>
        <v>0.30121250797702614</v>
      </c>
      <c r="EB102" s="369">
        <f t="shared" si="338"/>
        <v>472</v>
      </c>
      <c r="EC102" s="345">
        <f t="shared" si="338"/>
        <v>0</v>
      </c>
      <c r="ED102" s="345">
        <f>ED84</f>
        <v>33900</v>
      </c>
      <c r="EE102" s="345">
        <f>EE84</f>
        <v>47430</v>
      </c>
      <c r="EF102" s="345">
        <f>EF84</f>
        <v>196007.36</v>
      </c>
      <c r="EG102" s="153"/>
    </row>
    <row r="103" spans="1:230">
      <c r="A103" s="153"/>
      <c r="B103" s="153" t="s">
        <v>185</v>
      </c>
      <c r="C103" s="344" t="s">
        <v>306</v>
      </c>
      <c r="D103" s="345">
        <f t="shared" ref="D103:AJ103" si="340">SUM(D85:D90)</f>
        <v>29122877.749999996</v>
      </c>
      <c r="E103" s="345">
        <f t="shared" si="340"/>
        <v>6121236.04</v>
      </c>
      <c r="F103" s="345">
        <f t="shared" si="340"/>
        <v>2372536.5299999998</v>
      </c>
      <c r="G103" s="345">
        <f t="shared" si="340"/>
        <v>0</v>
      </c>
      <c r="H103" s="345">
        <f t="shared" si="340"/>
        <v>859546.41</v>
      </c>
      <c r="I103" s="345">
        <f t="shared" si="340"/>
        <v>614888.65</v>
      </c>
      <c r="J103" s="345">
        <f t="shared" si="340"/>
        <v>6670</v>
      </c>
      <c r="K103" s="345">
        <f>SUM(K85:K90)</f>
        <v>29910.52</v>
      </c>
      <c r="L103" s="345">
        <f t="shared" si="340"/>
        <v>71932.37</v>
      </c>
      <c r="M103" s="345">
        <f t="shared" si="340"/>
        <v>700615.35000000009</v>
      </c>
      <c r="N103" s="345">
        <f t="shared" si="340"/>
        <v>9022</v>
      </c>
      <c r="O103" s="345">
        <f t="shared" si="340"/>
        <v>18357.009999999998</v>
      </c>
      <c r="P103" s="345">
        <f t="shared" si="340"/>
        <v>1248957.8700000001</v>
      </c>
      <c r="Q103" s="345">
        <f t="shared" si="340"/>
        <v>2422652.4900000002</v>
      </c>
      <c r="R103" s="345">
        <f t="shared" si="340"/>
        <v>0</v>
      </c>
      <c r="S103" s="345">
        <f t="shared" si="340"/>
        <v>0</v>
      </c>
      <c r="T103" s="345">
        <f t="shared" si="340"/>
        <v>0</v>
      </c>
      <c r="U103" s="345">
        <f t="shared" si="340"/>
        <v>617669.62000000011</v>
      </c>
      <c r="V103" s="345">
        <f t="shared" si="340"/>
        <v>25098652.310000002</v>
      </c>
      <c r="W103" s="345">
        <f t="shared" si="340"/>
        <v>87085.45</v>
      </c>
      <c r="X103" s="345">
        <f t="shared" si="340"/>
        <v>4608079.4400000004</v>
      </c>
      <c r="Y103" s="345">
        <f t="shared" si="340"/>
        <v>614217.77</v>
      </c>
      <c r="Z103" s="345">
        <f t="shared" si="340"/>
        <v>2866539.04</v>
      </c>
      <c r="AA103" s="345">
        <f t="shared" si="340"/>
        <v>217337.4</v>
      </c>
      <c r="AB103" s="345">
        <f t="shared" si="340"/>
        <v>194417.94</v>
      </c>
      <c r="AC103" s="345">
        <f t="shared" si="340"/>
        <v>369185.76</v>
      </c>
      <c r="AD103" s="345">
        <f t="shared" si="340"/>
        <v>85409.84</v>
      </c>
      <c r="AE103" s="345">
        <f t="shared" si="340"/>
        <v>53824.659999999996</v>
      </c>
      <c r="AF103" s="345">
        <f t="shared" si="340"/>
        <v>4881.6400000000003</v>
      </c>
      <c r="AG103" s="345">
        <f t="shared" si="340"/>
        <v>795932.51</v>
      </c>
      <c r="AH103" s="345">
        <f t="shared" si="340"/>
        <v>87573.72</v>
      </c>
      <c r="AI103" s="345">
        <f t="shared" si="340"/>
        <v>616623</v>
      </c>
      <c r="AJ103" s="345">
        <f t="shared" si="340"/>
        <v>73343.31</v>
      </c>
      <c r="AK103" s="345">
        <f t="shared" ref="AK103:BI103" si="341">SUM(AK85:AK90)</f>
        <v>702143.77</v>
      </c>
      <c r="AL103" s="345">
        <f t="shared" si="341"/>
        <v>207511.28</v>
      </c>
      <c r="AM103" s="345">
        <f t="shared" si="341"/>
        <v>609448.48</v>
      </c>
      <c r="AN103" s="345">
        <f t="shared" si="341"/>
        <v>1038477.11</v>
      </c>
      <c r="AO103" s="345">
        <f t="shared" si="341"/>
        <v>469421.59</v>
      </c>
      <c r="AP103" s="345">
        <f t="shared" si="341"/>
        <v>534823.94999999995</v>
      </c>
      <c r="AQ103" s="345">
        <f t="shared" si="341"/>
        <v>282377.19</v>
      </c>
      <c r="AR103" s="345">
        <f t="shared" si="341"/>
        <v>224384.99</v>
      </c>
      <c r="AS103" s="345">
        <f t="shared" si="341"/>
        <v>334</v>
      </c>
      <c r="AT103" s="345">
        <f t="shared" si="341"/>
        <v>646112.21</v>
      </c>
      <c r="AU103" s="345">
        <f t="shared" si="341"/>
        <v>488963.12</v>
      </c>
      <c r="AV103" s="345">
        <f t="shared" si="341"/>
        <v>1283498.5499999998</v>
      </c>
      <c r="AW103" s="345">
        <f t="shared" si="341"/>
        <v>1093589.98</v>
      </c>
      <c r="AX103" s="345">
        <f>SUM(AX85:AX90)</f>
        <v>0</v>
      </c>
      <c r="AY103" s="345">
        <f t="shared" si="341"/>
        <v>0</v>
      </c>
      <c r="AZ103" s="345">
        <f t="shared" si="341"/>
        <v>180695.5</v>
      </c>
      <c r="BA103" s="345">
        <f t="shared" si="341"/>
        <v>0</v>
      </c>
      <c r="BB103" s="345">
        <f t="shared" si="341"/>
        <v>0</v>
      </c>
      <c r="BC103" s="345">
        <f t="shared" si="341"/>
        <v>44216872.609999992</v>
      </c>
      <c r="BD103" s="345">
        <f t="shared" si="341"/>
        <v>43534885.510000005</v>
      </c>
      <c r="BE103" s="345">
        <f t="shared" si="341"/>
        <v>681987.0999999973</v>
      </c>
      <c r="BF103" s="345">
        <f t="shared" si="341"/>
        <v>1091637.52</v>
      </c>
      <c r="BG103" s="345">
        <f t="shared" si="341"/>
        <v>1773624.6199999973</v>
      </c>
      <c r="BH103" s="379">
        <f t="shared" si="341"/>
        <v>5777</v>
      </c>
      <c r="BI103" s="345">
        <f t="shared" si="341"/>
        <v>37616650.32</v>
      </c>
      <c r="BJ103" s="153" t="s">
        <v>185</v>
      </c>
      <c r="BK103" s="358">
        <f t="shared" ref="BK103:CP103" si="342">BK91</f>
        <v>0.67138578072479949</v>
      </c>
      <c r="BL103" s="359">
        <f t="shared" si="342"/>
        <v>5047.7315501765406</v>
      </c>
      <c r="BM103" s="360">
        <f t="shared" si="342"/>
        <v>0.14273022478112676</v>
      </c>
      <c r="BN103" s="361">
        <f t="shared" si="342"/>
        <v>1014.6408577743147</v>
      </c>
      <c r="BO103" s="358">
        <f t="shared" si="342"/>
        <v>4.1739918205099667E-2</v>
      </c>
      <c r="BP103" s="359">
        <f t="shared" si="342"/>
        <v>356.37078072828666</v>
      </c>
      <c r="BQ103" s="360">
        <f t="shared" si="342"/>
        <v>0</v>
      </c>
      <c r="BR103" s="361">
        <f t="shared" si="342"/>
        <v>0</v>
      </c>
      <c r="BS103" s="358">
        <f t="shared" si="342"/>
        <v>2.0015988697163731E-2</v>
      </c>
      <c r="BT103" s="359">
        <f t="shared" si="342"/>
        <v>151.73799213634211</v>
      </c>
      <c r="BU103" s="360">
        <f t="shared" si="342"/>
        <v>1.5208861531796479E-2</v>
      </c>
      <c r="BV103" s="361">
        <f t="shared" si="342"/>
        <v>128.24929781343221</v>
      </c>
      <c r="BW103" s="358">
        <f t="shared" si="342"/>
        <v>2.0603775718491422E-4</v>
      </c>
      <c r="BX103" s="359">
        <f t="shared" si="342"/>
        <v>1.5326035858951219</v>
      </c>
      <c r="BY103" s="360">
        <f t="shared" si="342"/>
        <v>2.3117890470643852E-3</v>
      </c>
      <c r="BZ103" s="361">
        <f t="shared" si="342"/>
        <v>16.338660713179063</v>
      </c>
      <c r="CA103" s="362">
        <f t="shared" si="342"/>
        <v>1.701494871994624E-2</v>
      </c>
      <c r="CB103" s="363">
        <f t="shared" si="342"/>
        <v>160.67029638679924</v>
      </c>
      <c r="CC103" s="360">
        <f t="shared" si="342"/>
        <v>5.701097725038775E-2</v>
      </c>
      <c r="CD103" s="361">
        <f t="shared" si="342"/>
        <v>478.66660428289123</v>
      </c>
      <c r="CE103" s="362">
        <f t="shared" si="342"/>
        <v>0.70244523067121911</v>
      </c>
      <c r="CF103" s="364">
        <f t="shared" si="342"/>
        <v>0.59628159659984681</v>
      </c>
      <c r="CG103" s="364">
        <f t="shared" si="342"/>
        <v>0.60832176059946896</v>
      </c>
      <c r="CH103" s="363">
        <f t="shared" si="342"/>
        <v>4495.060142644722</v>
      </c>
      <c r="CI103" s="360">
        <f t="shared" si="342"/>
        <v>0.11038136511592923</v>
      </c>
      <c r="CJ103" s="365">
        <f t="shared" si="342"/>
        <v>9.3290821112442315E-2</v>
      </c>
      <c r="CK103" s="365">
        <f t="shared" si="342"/>
        <v>9.4399949502572966E-2</v>
      </c>
      <c r="CL103" s="366">
        <f t="shared" si="342"/>
        <v>742.96240358804118</v>
      </c>
      <c r="CM103" s="362">
        <f t="shared" si="342"/>
        <v>1.703397195471959E-2</v>
      </c>
      <c r="CN103" s="364">
        <f t="shared" si="342"/>
        <v>1.44851030002265E-2</v>
      </c>
      <c r="CO103" s="364">
        <f t="shared" si="342"/>
        <v>1.478197085588126E-2</v>
      </c>
      <c r="CP103" s="363">
        <f t="shared" si="342"/>
        <v>108.83220486467786</v>
      </c>
      <c r="CQ103" s="360">
        <f t="shared" ref="CQ103:EA103" si="343">CQ91</f>
        <v>7.7989477208132638E-2</v>
      </c>
      <c r="CR103" s="365">
        <f t="shared" si="343"/>
        <v>6.6077109252800484E-2</v>
      </c>
      <c r="CS103" s="365">
        <f t="shared" si="343"/>
        <v>6.7343351421901218E-2</v>
      </c>
      <c r="CT103" s="361">
        <f t="shared" si="343"/>
        <v>501.50852150463629</v>
      </c>
      <c r="CU103" s="362">
        <f t="shared" si="343"/>
        <v>0.90643746333813635</v>
      </c>
      <c r="CV103" s="364">
        <f t="shared" si="343"/>
        <v>0.76904651570540394</v>
      </c>
      <c r="CW103" s="364">
        <f t="shared" si="343"/>
        <v>0.78392636210638011</v>
      </c>
      <c r="CX103" s="363">
        <f t="shared" si="343"/>
        <v>5833.8093327788301</v>
      </c>
      <c r="CY103" s="360">
        <f t="shared" si="343"/>
        <v>2.7593910138279418E-2</v>
      </c>
      <c r="CZ103" s="365">
        <f t="shared" si="343"/>
        <v>2.2698599957072189E-2</v>
      </c>
      <c r="DA103" s="361">
        <f t="shared" si="343"/>
        <v>170.08505464553301</v>
      </c>
      <c r="DB103" s="362">
        <f t="shared" si="343"/>
        <v>1.7074941674054187E-3</v>
      </c>
      <c r="DC103" s="363">
        <f t="shared" si="343"/>
        <v>11.786778528411388</v>
      </c>
      <c r="DD103" s="360">
        <f t="shared" si="343"/>
        <v>1.6323037161895492E-2</v>
      </c>
      <c r="DE103" s="365">
        <f t="shared" si="343"/>
        <v>1.4439037894545871E-2</v>
      </c>
      <c r="DF103" s="361">
        <f t="shared" si="343"/>
        <v>106.65684759992179</v>
      </c>
      <c r="DG103" s="362">
        <f t="shared" si="343"/>
        <v>1.7691901527090097E-2</v>
      </c>
      <c r="DH103" s="364">
        <f t="shared" si="343"/>
        <v>1.4125478836427431E-2</v>
      </c>
      <c r="DI103" s="363">
        <f t="shared" si="343"/>
        <v>113.82432249926863</v>
      </c>
      <c r="DJ103" s="360">
        <f t="shared" si="343"/>
        <v>2.6115257445911796E-2</v>
      </c>
      <c r="DK103" s="365">
        <f t="shared" si="343"/>
        <v>2.2200797136456937E-2</v>
      </c>
      <c r="DL103" s="365">
        <f t="shared" si="343"/>
        <v>2.2675219828471347E-2</v>
      </c>
      <c r="DM103" s="361">
        <f t="shared" si="343"/>
        <v>169.40286013385563</v>
      </c>
      <c r="DN103" s="362">
        <f>DN91</f>
        <v>9.3120191977956943E-3</v>
      </c>
      <c r="DO103" s="364">
        <f>DO91</f>
        <v>7.9649192371466799E-3</v>
      </c>
      <c r="DP103" s="363">
        <f>DP91</f>
        <v>56.711848521460873</v>
      </c>
      <c r="DQ103" s="360">
        <f t="shared" si="343"/>
        <v>2.7728487951710502E-2</v>
      </c>
      <c r="DR103" s="365">
        <f t="shared" si="343"/>
        <v>2.3674910472014848E-2</v>
      </c>
      <c r="DS103" s="361">
        <f t="shared" si="343"/>
        <v>186.12873143867304</v>
      </c>
      <c r="DT103" s="367">
        <f t="shared" si="343"/>
        <v>1.5283339181425508E-2</v>
      </c>
      <c r="DU103" s="363">
        <f t="shared" si="343"/>
        <v>108.89630414587815</v>
      </c>
      <c r="DV103" s="368">
        <f t="shared" ref="DV103:DW103" si="344">DV91</f>
        <v>1.446274444956352E-2</v>
      </c>
      <c r="DW103" s="361">
        <f t="shared" si="344"/>
        <v>106.15767039207667</v>
      </c>
      <c r="DX103" s="360">
        <f t="shared" si="343"/>
        <v>2.1287856530577802E-5</v>
      </c>
      <c r="DY103" s="365">
        <f t="shared" si="343"/>
        <v>1.8866892747404463E-5</v>
      </c>
      <c r="DZ103" s="365">
        <f t="shared" si="343"/>
        <v>1.9072313228389535E-5</v>
      </c>
      <c r="EA103" s="361">
        <f t="shared" si="343"/>
        <v>0.1434576425367686</v>
      </c>
      <c r="EB103" s="369">
        <f>SUM(EB85:EB90)</f>
        <v>802.5</v>
      </c>
      <c r="EC103" s="345">
        <f>SUM(EC85:EC90)</f>
        <v>61774.06</v>
      </c>
      <c r="ED103" s="345">
        <f>SUM(ED85:ED90)</f>
        <v>158320</v>
      </c>
      <c r="EE103" s="345">
        <f>SUM(EE85:EE90)</f>
        <v>172584.14</v>
      </c>
      <c r="EF103" s="345">
        <f>SUM(EF85:EF90)</f>
        <v>224991.41999999998</v>
      </c>
      <c r="EG103" s="153"/>
    </row>
    <row r="104" spans="1:230">
      <c r="A104" s="153"/>
      <c r="B104" s="153" t="s">
        <v>187</v>
      </c>
      <c r="C104" s="344" t="s">
        <v>307</v>
      </c>
      <c r="D104" s="345">
        <f t="shared" ref="D104:AJ104" si="345">SUM(D92:D94)</f>
        <v>4014434.4300000006</v>
      </c>
      <c r="E104" s="345">
        <f t="shared" si="345"/>
        <v>300977.03999999998</v>
      </c>
      <c r="F104" s="345">
        <f t="shared" si="345"/>
        <v>6131098.6000000006</v>
      </c>
      <c r="G104" s="345">
        <f t="shared" si="345"/>
        <v>0</v>
      </c>
      <c r="H104" s="345">
        <f t="shared" si="345"/>
        <v>155494.98000000001</v>
      </c>
      <c r="I104" s="345">
        <f t="shared" si="345"/>
        <v>33250</v>
      </c>
      <c r="J104" s="345">
        <f t="shared" si="345"/>
        <v>735126.51</v>
      </c>
      <c r="K104" s="345">
        <f>SUM(K92:K94)</f>
        <v>34624.050000000003</v>
      </c>
      <c r="L104" s="345">
        <f t="shared" si="345"/>
        <v>33946.14</v>
      </c>
      <c r="M104" s="345">
        <f t="shared" si="345"/>
        <v>22617.49</v>
      </c>
      <c r="N104" s="345">
        <f t="shared" si="345"/>
        <v>8280</v>
      </c>
      <c r="O104" s="345">
        <f t="shared" si="345"/>
        <v>2527.1999999999998</v>
      </c>
      <c r="P104" s="345">
        <f t="shared" si="345"/>
        <v>4833.37</v>
      </c>
      <c r="Q104" s="345">
        <f t="shared" si="345"/>
        <v>8622.68</v>
      </c>
      <c r="R104" s="345">
        <f t="shared" si="345"/>
        <v>2496</v>
      </c>
      <c r="S104" s="345">
        <f t="shared" si="345"/>
        <v>0</v>
      </c>
      <c r="T104" s="345">
        <f t="shared" si="345"/>
        <v>0</v>
      </c>
      <c r="U104" s="345">
        <f t="shared" si="345"/>
        <v>139734</v>
      </c>
      <c r="V104" s="345">
        <f t="shared" si="345"/>
        <v>4185343.01</v>
      </c>
      <c r="W104" s="345">
        <f t="shared" si="345"/>
        <v>3766.23</v>
      </c>
      <c r="X104" s="345">
        <f t="shared" si="345"/>
        <v>4190391.17</v>
      </c>
      <c r="Y104" s="345">
        <f t="shared" si="345"/>
        <v>194491.15999999997</v>
      </c>
      <c r="Z104" s="345">
        <f t="shared" si="345"/>
        <v>399915.89</v>
      </c>
      <c r="AA104" s="345">
        <f t="shared" si="345"/>
        <v>0</v>
      </c>
      <c r="AB104" s="345">
        <f t="shared" si="345"/>
        <v>196176.03</v>
      </c>
      <c r="AC104" s="345">
        <f t="shared" si="345"/>
        <v>64140.42</v>
      </c>
      <c r="AD104" s="345">
        <f t="shared" si="345"/>
        <v>64000.66</v>
      </c>
      <c r="AE104" s="345">
        <f t="shared" si="345"/>
        <v>20954.2</v>
      </c>
      <c r="AF104" s="345">
        <f t="shared" si="345"/>
        <v>0</v>
      </c>
      <c r="AG104" s="345">
        <f t="shared" si="345"/>
        <v>265994.89</v>
      </c>
      <c r="AH104" s="345">
        <f t="shared" si="345"/>
        <v>31481.760000000002</v>
      </c>
      <c r="AI104" s="345">
        <f t="shared" si="345"/>
        <v>71387.679999999993</v>
      </c>
      <c r="AJ104" s="345">
        <f t="shared" si="345"/>
        <v>9412.14</v>
      </c>
      <c r="AK104" s="345">
        <f t="shared" ref="AK104:BI104" si="346">SUM(AK92:AK94)</f>
        <v>114264.25</v>
      </c>
      <c r="AL104" s="345">
        <f t="shared" si="346"/>
        <v>0</v>
      </c>
      <c r="AM104" s="345">
        <f t="shared" si="346"/>
        <v>59579.77</v>
      </c>
      <c r="AN104" s="345">
        <f t="shared" si="346"/>
        <v>233798.59000000003</v>
      </c>
      <c r="AO104" s="345">
        <f t="shared" si="346"/>
        <v>70827.16</v>
      </c>
      <c r="AP104" s="345">
        <f t="shared" si="346"/>
        <v>907.3</v>
      </c>
      <c r="AQ104" s="345">
        <f t="shared" si="346"/>
        <v>39197.119999999995</v>
      </c>
      <c r="AR104" s="345">
        <f t="shared" si="346"/>
        <v>19956.2</v>
      </c>
      <c r="AS104" s="345">
        <f t="shared" si="346"/>
        <v>91746.03</v>
      </c>
      <c r="AT104" s="345">
        <f t="shared" si="346"/>
        <v>106581.98999999999</v>
      </c>
      <c r="AU104" s="345">
        <f t="shared" si="346"/>
        <v>20912.2</v>
      </c>
      <c r="AV104" s="345">
        <f t="shared" si="346"/>
        <v>692005.97</v>
      </c>
      <c r="AW104" s="345">
        <f t="shared" si="346"/>
        <v>128384.83</v>
      </c>
      <c r="AX104" s="345">
        <f>SUM(AX92:AX94)</f>
        <v>0</v>
      </c>
      <c r="AY104" s="345">
        <f t="shared" si="346"/>
        <v>0</v>
      </c>
      <c r="AZ104" s="345">
        <f t="shared" si="346"/>
        <v>18673.43</v>
      </c>
      <c r="BA104" s="345">
        <f t="shared" si="346"/>
        <v>0</v>
      </c>
      <c r="BB104" s="345">
        <f t="shared" si="346"/>
        <v>0</v>
      </c>
      <c r="BC104" s="345">
        <f t="shared" si="346"/>
        <v>11628062.49</v>
      </c>
      <c r="BD104" s="345">
        <f t="shared" si="346"/>
        <v>11294290.08</v>
      </c>
      <c r="BE104" s="345">
        <f t="shared" si="346"/>
        <v>333772.41000000015</v>
      </c>
      <c r="BF104" s="345">
        <f t="shared" si="346"/>
        <v>1319077.3799999999</v>
      </c>
      <c r="BG104" s="345">
        <f t="shared" si="346"/>
        <v>1652849.7900000003</v>
      </c>
      <c r="BH104" s="379">
        <f t="shared" si="346"/>
        <v>366</v>
      </c>
      <c r="BI104" s="345">
        <f t="shared" si="346"/>
        <v>10446510.07</v>
      </c>
      <c r="BJ104" s="153" t="s">
        <v>187</v>
      </c>
      <c r="BK104" s="358">
        <f t="shared" ref="BK104:CP104" si="347">BK95</f>
        <v>0.34411113763498186</v>
      </c>
      <c r="BL104" s="359">
        <f t="shared" si="347"/>
        <v>10668.266368000865</v>
      </c>
      <c r="BM104" s="360">
        <f t="shared" si="347"/>
        <v>2.7285254879771917E-2</v>
      </c>
      <c r="BN104" s="361">
        <f t="shared" si="347"/>
        <v>964.67</v>
      </c>
      <c r="BO104" s="358">
        <f t="shared" si="347"/>
        <v>0.537538141996588</v>
      </c>
      <c r="BP104" s="359">
        <f t="shared" si="347"/>
        <v>17195.059840777503</v>
      </c>
      <c r="BQ104" s="360">
        <f t="shared" si="347"/>
        <v>0</v>
      </c>
      <c r="BR104" s="361">
        <f t="shared" si="347"/>
        <v>0</v>
      </c>
      <c r="BS104" s="358">
        <f t="shared" si="347"/>
        <v>1.3812454853673375E-2</v>
      </c>
      <c r="BT104" s="359">
        <f t="shared" si="347"/>
        <v>419.42772943863059</v>
      </c>
      <c r="BU104" s="360">
        <f t="shared" si="347"/>
        <v>3.0142987809050697E-3</v>
      </c>
      <c r="BV104" s="361">
        <f t="shared" si="347"/>
        <v>106.57051282051282</v>
      </c>
      <c r="BW104" s="358">
        <f t="shared" si="347"/>
        <v>5.1431635816988758E-2</v>
      </c>
      <c r="BX104" s="359">
        <f t="shared" si="347"/>
        <v>1794.4803568196257</v>
      </c>
      <c r="BY104" s="360">
        <f t="shared" si="347"/>
        <v>6.3136557942231773E-3</v>
      </c>
      <c r="BZ104" s="361">
        <f t="shared" si="347"/>
        <v>183.58829323551626</v>
      </c>
      <c r="CA104" s="362">
        <f t="shared" si="347"/>
        <v>3.5533817902367324E-4</v>
      </c>
      <c r="CB104" s="363">
        <f t="shared" si="347"/>
        <v>12.143558636314596</v>
      </c>
      <c r="CC104" s="360">
        <f t="shared" si="347"/>
        <v>7.4598026997530181E-4</v>
      </c>
      <c r="CD104" s="361">
        <f t="shared" si="347"/>
        <v>25.45832810383477</v>
      </c>
      <c r="CE104" s="362">
        <f t="shared" si="347"/>
        <v>0.39950543983568948</v>
      </c>
      <c r="CF104" s="364">
        <f t="shared" si="347"/>
        <v>0.36008650007725668</v>
      </c>
      <c r="CG104" s="364">
        <f t="shared" si="347"/>
        <v>0.36930346587902579</v>
      </c>
      <c r="CH104" s="363">
        <f t="shared" si="347"/>
        <v>11447.735170760359</v>
      </c>
      <c r="CI104" s="360">
        <f t="shared" si="347"/>
        <v>0.39669167492692953</v>
      </c>
      <c r="CJ104" s="365">
        <f t="shared" si="347"/>
        <v>0.35851317253018228</v>
      </c>
      <c r="CK104" s="365">
        <f t="shared" si="347"/>
        <v>0.36894272763428226</v>
      </c>
      <c r="CL104" s="366">
        <f t="shared" si="347"/>
        <v>11497.640835461096</v>
      </c>
      <c r="CM104" s="362">
        <f t="shared" si="347"/>
        <v>1.8306540967860756E-2</v>
      </c>
      <c r="CN104" s="364">
        <f t="shared" si="347"/>
        <v>1.6922833916526273E-2</v>
      </c>
      <c r="CO104" s="364">
        <f t="shared" si="347"/>
        <v>1.7751742433059332E-2</v>
      </c>
      <c r="CP104" s="363">
        <f t="shared" si="347"/>
        <v>567.67883746298889</v>
      </c>
      <c r="CQ104" s="360">
        <f t="shared" ref="CQ104:EA104" si="348">CQ95</f>
        <v>3.9264905746455643E-2</v>
      </c>
      <c r="CR104" s="365">
        <f t="shared" si="348"/>
        <v>3.604337281208455E-2</v>
      </c>
      <c r="CS104" s="365">
        <f t="shared" si="348"/>
        <v>3.6687509239953016E-2</v>
      </c>
      <c r="CT104" s="361">
        <f t="shared" si="348"/>
        <v>1109.8509236133589</v>
      </c>
      <c r="CU104" s="362">
        <f t="shared" si="348"/>
        <v>0.86938007020380559</v>
      </c>
      <c r="CV104" s="364">
        <f t="shared" si="348"/>
        <v>0.78532876313639954</v>
      </c>
      <c r="CW104" s="364">
        <f t="shared" si="348"/>
        <v>0.80716157768579144</v>
      </c>
      <c r="CX104" s="363">
        <f t="shared" si="348"/>
        <v>25098.577115744236</v>
      </c>
      <c r="CY104" s="360">
        <f t="shared" si="348"/>
        <v>2.697108071361241E-2</v>
      </c>
      <c r="CZ104" s="365">
        <f t="shared" si="348"/>
        <v>2.4992018953976358E-2</v>
      </c>
      <c r="DA104" s="380">
        <f t="shared" si="348"/>
        <v>731.24710766773353</v>
      </c>
      <c r="DB104" s="362">
        <f t="shared" si="348"/>
        <v>7.8870952147252051E-4</v>
      </c>
      <c r="DC104" s="381">
        <f t="shared" si="348"/>
        <v>26.169238770813106</v>
      </c>
      <c r="DD104" s="360">
        <f t="shared" si="348"/>
        <v>1.136725700752611E-2</v>
      </c>
      <c r="DE104" s="365">
        <f t="shared" si="348"/>
        <v>1.041823402899531E-2</v>
      </c>
      <c r="DF104" s="380">
        <f t="shared" si="348"/>
        <v>308.00974483343521</v>
      </c>
      <c r="DG104" s="362">
        <f t="shared" si="348"/>
        <v>5.4487725574304093E-3</v>
      </c>
      <c r="DH104" s="364">
        <f t="shared" si="348"/>
        <v>5.0160661503668496E-3</v>
      </c>
      <c r="DI104" s="381">
        <f t="shared" si="348"/>
        <v>160.41510933997435</v>
      </c>
      <c r="DJ104" s="360">
        <f t="shared" si="348"/>
        <v>2.1872319549159715E-2</v>
      </c>
      <c r="DK104" s="365">
        <f t="shared" si="348"/>
        <v>1.9505606421705114E-2</v>
      </c>
      <c r="DL104" s="365">
        <f t="shared" si="348"/>
        <v>2.003253375966051E-2</v>
      </c>
      <c r="DM104" s="380">
        <f t="shared" si="348"/>
        <v>625.98474690125988</v>
      </c>
      <c r="DN104" s="362">
        <f>DN95</f>
        <v>3.7111223286898274E-3</v>
      </c>
      <c r="DO104" s="364">
        <f>DO95</f>
        <v>3.3918736677358424E-3</v>
      </c>
      <c r="DP104" s="381">
        <f>DP95</f>
        <v>104.7257864776255</v>
      </c>
      <c r="DQ104" s="360">
        <f t="shared" si="348"/>
        <v>7.032839066762335E-2</v>
      </c>
      <c r="DR104" s="365">
        <f t="shared" si="348"/>
        <v>6.4661198490902308E-2</v>
      </c>
      <c r="DS104" s="380">
        <f t="shared" si="348"/>
        <v>1878.8921768499538</v>
      </c>
      <c r="DT104" s="362">
        <f t="shared" si="348"/>
        <v>9.5579872509507866E-3</v>
      </c>
      <c r="DU104" s="381">
        <f t="shared" si="348"/>
        <v>287.14360393366178</v>
      </c>
      <c r="DV104" s="360">
        <f t="shared" ref="DV104:DW104" si="349">DV95</f>
        <v>6.2619343174447157E-3</v>
      </c>
      <c r="DW104" s="380">
        <f t="shared" si="349"/>
        <v>185.92811646647726</v>
      </c>
      <c r="DX104" s="360">
        <f t="shared" si="348"/>
        <v>1.2119352629152521E-5</v>
      </c>
      <c r="DY104" s="365">
        <f t="shared" si="348"/>
        <v>1.1056648166086344E-5</v>
      </c>
      <c r="DZ104" s="365">
        <f t="shared" si="348"/>
        <v>1.1234382513729431E-5</v>
      </c>
      <c r="EA104" s="361">
        <f t="shared" si="348"/>
        <v>0.33970013545749872</v>
      </c>
      <c r="EB104" s="369">
        <f>SUM(EB92:EB94)</f>
        <v>124</v>
      </c>
      <c r="EC104" s="345">
        <f>SUM(EC92:EC94)</f>
        <v>0</v>
      </c>
      <c r="ED104" s="345">
        <f>SUM(ED92:ED94)</f>
        <v>7800</v>
      </c>
      <c r="EE104" s="345">
        <f>SUM(EE92:EE94)</f>
        <v>84769.47</v>
      </c>
      <c r="EF104" s="345">
        <f>SUM(EF92:EF94)</f>
        <v>47164.53</v>
      </c>
      <c r="EG104" s="153"/>
    </row>
    <row r="105" spans="1:230">
      <c r="A105" s="153"/>
      <c r="B105" s="370" t="s">
        <v>326</v>
      </c>
      <c r="C105" s="344" t="s">
        <v>323</v>
      </c>
      <c r="D105" s="345">
        <f t="shared" ref="D105:AJ105" si="350">SUM(D96:D97)</f>
        <v>2186560.1</v>
      </c>
      <c r="E105" s="345">
        <f t="shared" si="350"/>
        <v>0</v>
      </c>
      <c r="F105" s="345">
        <f t="shared" si="350"/>
        <v>1080223.2</v>
      </c>
      <c r="G105" s="345">
        <f t="shared" si="350"/>
        <v>0</v>
      </c>
      <c r="H105" s="345">
        <f t="shared" si="350"/>
        <v>36677.699999999997</v>
      </c>
      <c r="I105" s="345">
        <f t="shared" si="350"/>
        <v>0</v>
      </c>
      <c r="J105" s="345">
        <f t="shared" si="350"/>
        <v>61070.17</v>
      </c>
      <c r="K105" s="345">
        <f>SUM(K96:K97)</f>
        <v>0</v>
      </c>
      <c r="L105" s="345">
        <f t="shared" si="350"/>
        <v>265858.12</v>
      </c>
      <c r="M105" s="345">
        <f t="shared" si="350"/>
        <v>0</v>
      </c>
      <c r="N105" s="345">
        <f t="shared" si="350"/>
        <v>22373.919999999998</v>
      </c>
      <c r="O105" s="345">
        <f t="shared" si="350"/>
        <v>1326</v>
      </c>
      <c r="P105" s="345">
        <f t="shared" si="350"/>
        <v>0</v>
      </c>
      <c r="Q105" s="345">
        <f t="shared" si="350"/>
        <v>0</v>
      </c>
      <c r="R105" s="345">
        <f t="shared" si="350"/>
        <v>0</v>
      </c>
      <c r="S105" s="345">
        <f t="shared" si="350"/>
        <v>0</v>
      </c>
      <c r="T105" s="345">
        <f t="shared" si="350"/>
        <v>0</v>
      </c>
      <c r="U105" s="345">
        <f t="shared" si="350"/>
        <v>101301.72</v>
      </c>
      <c r="V105" s="345">
        <f t="shared" si="350"/>
        <v>2040310.63</v>
      </c>
      <c r="W105" s="345">
        <f t="shared" si="350"/>
        <v>202269.9</v>
      </c>
      <c r="X105" s="345">
        <f t="shared" si="350"/>
        <v>336649.05</v>
      </c>
      <c r="Y105" s="345">
        <f t="shared" si="350"/>
        <v>32179.279999999999</v>
      </c>
      <c r="Z105" s="345">
        <f t="shared" si="350"/>
        <v>98855.25</v>
      </c>
      <c r="AA105" s="345">
        <f t="shared" si="350"/>
        <v>0</v>
      </c>
      <c r="AB105" s="345">
        <f t="shared" si="350"/>
        <v>656.22</v>
      </c>
      <c r="AC105" s="345">
        <f t="shared" si="350"/>
        <v>17706.8</v>
      </c>
      <c r="AD105" s="345">
        <f t="shared" si="350"/>
        <v>15611.400000000001</v>
      </c>
      <c r="AE105" s="345">
        <f t="shared" si="350"/>
        <v>32043.35</v>
      </c>
      <c r="AF105" s="345">
        <f t="shared" si="350"/>
        <v>1482</v>
      </c>
      <c r="AG105" s="345">
        <f t="shared" si="350"/>
        <v>12307.28</v>
      </c>
      <c r="AH105" s="345">
        <f t="shared" si="350"/>
        <v>3928.08</v>
      </c>
      <c r="AI105" s="345">
        <f t="shared" si="350"/>
        <v>23304.33</v>
      </c>
      <c r="AJ105" s="345">
        <f t="shared" si="350"/>
        <v>1089.33</v>
      </c>
      <c r="AK105" s="345">
        <f t="shared" ref="AK105:BI105" si="351">SUM(AK96:AK97)</f>
        <v>17953.689999999999</v>
      </c>
      <c r="AL105" s="345">
        <f t="shared" si="351"/>
        <v>2697.06</v>
      </c>
      <c r="AM105" s="345">
        <f t="shared" si="351"/>
        <v>12062.11</v>
      </c>
      <c r="AN105" s="345">
        <f t="shared" si="351"/>
        <v>57239.43</v>
      </c>
      <c r="AO105" s="345">
        <f t="shared" si="351"/>
        <v>33509.599999999999</v>
      </c>
      <c r="AP105" s="345">
        <f t="shared" si="351"/>
        <v>10778.130000000001</v>
      </c>
      <c r="AQ105" s="345">
        <f t="shared" si="351"/>
        <v>30146.29</v>
      </c>
      <c r="AR105" s="345">
        <f t="shared" si="351"/>
        <v>4162</v>
      </c>
      <c r="AS105" s="345">
        <f t="shared" si="351"/>
        <v>34412.769999999997</v>
      </c>
      <c r="AT105" s="345">
        <f t="shared" si="351"/>
        <v>34809.050000000003</v>
      </c>
      <c r="AU105" s="345">
        <f t="shared" si="351"/>
        <v>150932.25</v>
      </c>
      <c r="AV105" s="345">
        <f t="shared" si="351"/>
        <v>218870.40999999997</v>
      </c>
      <c r="AW105" s="345">
        <f t="shared" si="351"/>
        <v>80124.149999999994</v>
      </c>
      <c r="AX105" s="345">
        <f>SUM(AX96:AX97)</f>
        <v>0</v>
      </c>
      <c r="AY105" s="345">
        <f t="shared" si="351"/>
        <v>0</v>
      </c>
      <c r="AZ105" s="345">
        <f t="shared" si="351"/>
        <v>527</v>
      </c>
      <c r="BA105" s="345">
        <f t="shared" si="351"/>
        <v>0</v>
      </c>
      <c r="BB105" s="345">
        <f t="shared" si="351"/>
        <v>0</v>
      </c>
      <c r="BC105" s="345">
        <f t="shared" si="351"/>
        <v>3755390.9299999997</v>
      </c>
      <c r="BD105" s="345">
        <f t="shared" si="351"/>
        <v>3506616.8399999994</v>
      </c>
      <c r="BE105" s="345">
        <f t="shared" si="351"/>
        <v>248774.0900000002</v>
      </c>
      <c r="BF105" s="345">
        <f t="shared" si="351"/>
        <v>470174.71999999997</v>
      </c>
      <c r="BG105" s="345">
        <f t="shared" si="351"/>
        <v>718948.81000000017</v>
      </c>
      <c r="BH105" s="379">
        <f t="shared" si="351"/>
        <v>137</v>
      </c>
      <c r="BI105" s="345">
        <f t="shared" si="351"/>
        <v>3266783.3</v>
      </c>
      <c r="BJ105" s="370" t="s">
        <v>326</v>
      </c>
      <c r="BK105" s="382">
        <f>+BK98</f>
        <v>0.65610738053274953</v>
      </c>
      <c r="BL105" s="383">
        <f t="shared" ref="BL105:DZ105" si="352">+BL98</f>
        <v>16051.621404984424</v>
      </c>
      <c r="BM105" s="384">
        <f t="shared" si="352"/>
        <v>0</v>
      </c>
      <c r="BN105" s="385">
        <f t="shared" si="352"/>
        <v>0</v>
      </c>
      <c r="BO105" s="382">
        <f t="shared" si="352"/>
        <v>0.17301883180962574</v>
      </c>
      <c r="BP105" s="383">
        <f t="shared" si="352"/>
        <v>5047.7719626168218</v>
      </c>
      <c r="BQ105" s="384">
        <f t="shared" si="352"/>
        <v>0</v>
      </c>
      <c r="BR105" s="385">
        <f t="shared" si="352"/>
        <v>0</v>
      </c>
      <c r="BS105" s="382">
        <f t="shared" si="352"/>
        <v>1.0037827548792292E-2</v>
      </c>
      <c r="BT105" s="383">
        <f t="shared" si="352"/>
        <v>250.79359345794393</v>
      </c>
      <c r="BU105" s="384">
        <f t="shared" si="352"/>
        <v>0</v>
      </c>
      <c r="BV105" s="385">
        <f t="shared" si="352"/>
        <v>0</v>
      </c>
      <c r="BW105" s="382">
        <f t="shared" si="352"/>
        <v>1.2232608388816789E-2</v>
      </c>
      <c r="BX105" s="383">
        <f t="shared" si="352"/>
        <v>332.12202180685358</v>
      </c>
      <c r="BY105" s="384">
        <f t="shared" si="352"/>
        <v>0.10406580919371591</v>
      </c>
      <c r="BZ105" s="385">
        <f t="shared" si="352"/>
        <v>2414.9744563862928</v>
      </c>
      <c r="CA105" s="386">
        <f t="shared" si="352"/>
        <v>0</v>
      </c>
      <c r="CB105" s="387">
        <f t="shared" si="352"/>
        <v>0</v>
      </c>
      <c r="CC105" s="384">
        <f t="shared" si="352"/>
        <v>0</v>
      </c>
      <c r="CD105" s="385">
        <f t="shared" si="352"/>
        <v>0</v>
      </c>
      <c r="CE105" s="386">
        <f t="shared" si="352"/>
        <v>0.81292740658393281</v>
      </c>
      <c r="CF105" s="388">
        <f t="shared" si="352"/>
        <v>0.66698775630554197</v>
      </c>
      <c r="CG105" s="388">
        <f t="shared" si="352"/>
        <v>0.68853635774245525</v>
      </c>
      <c r="CH105" s="387">
        <f t="shared" si="352"/>
        <v>16593.99866199377</v>
      </c>
      <c r="CI105" s="384">
        <f t="shared" si="352"/>
        <v>8.167511846292197E-2</v>
      </c>
      <c r="CJ105" s="389">
        <f t="shared" si="352"/>
        <v>6.9592183343439071E-2</v>
      </c>
      <c r="CK105" s="389">
        <f t="shared" si="352"/>
        <v>7.377278385854287E-2</v>
      </c>
      <c r="CL105" s="390">
        <f t="shared" si="352"/>
        <v>1872.0176137071651</v>
      </c>
      <c r="CM105" s="386">
        <f t="shared" si="352"/>
        <v>5.786891239228948E-3</v>
      </c>
      <c r="CN105" s="388">
        <f t="shared" si="352"/>
        <v>5.1541398426499761E-3</v>
      </c>
      <c r="CO105" s="388">
        <f t="shared" si="352"/>
        <v>5.6248627292154454E-3</v>
      </c>
      <c r="CP105" s="387">
        <f t="shared" si="352"/>
        <v>150.37046728971961</v>
      </c>
      <c r="CQ105" s="384">
        <f t="shared" si="352"/>
        <v>4.8749173362652373E-2</v>
      </c>
      <c r="CR105" s="389">
        <f t="shared" si="352"/>
        <v>3.8799133830146035E-2</v>
      </c>
      <c r="CS105" s="389">
        <f t="shared" si="352"/>
        <v>3.9154980151155032E-2</v>
      </c>
      <c r="CT105" s="385">
        <f t="shared" si="352"/>
        <v>899.95204205607479</v>
      </c>
      <c r="CU105" s="386">
        <f t="shared" si="352"/>
        <v>0.91907809166941923</v>
      </c>
      <c r="CV105" s="388">
        <f t="shared" si="352"/>
        <v>0.75421243119320713</v>
      </c>
      <c r="CW105" s="388">
        <f t="shared" si="352"/>
        <v>0.77867681055084681</v>
      </c>
      <c r="CX105" s="387">
        <f t="shared" si="352"/>
        <v>18771.179289719625</v>
      </c>
      <c r="CY105" s="384">
        <f t="shared" si="352"/>
        <v>9.6064757846973433E-3</v>
      </c>
      <c r="CZ105" s="389">
        <f t="shared" si="352"/>
        <v>7.3731084945159349E-3</v>
      </c>
      <c r="DA105" s="391">
        <f t="shared" si="352"/>
        <v>162.06777881619936</v>
      </c>
      <c r="DB105" s="386">
        <f t="shared" si="352"/>
        <v>1.9041233106571249E-4</v>
      </c>
      <c r="DC105" s="392">
        <f t="shared" si="352"/>
        <v>5.0903271028037382</v>
      </c>
      <c r="DD105" s="384">
        <f t="shared" si="352"/>
        <v>3.2286630208268295E-3</v>
      </c>
      <c r="DE105" s="389">
        <f t="shared" si="352"/>
        <v>3.1382629360535113E-3</v>
      </c>
      <c r="DF105" s="391">
        <f t="shared" si="352"/>
        <v>83.89574766355139</v>
      </c>
      <c r="DG105" s="386">
        <f t="shared" si="352"/>
        <v>3.1272373119650785E-3</v>
      </c>
      <c r="DH105" s="388">
        <f t="shared" si="352"/>
        <v>2.7851150254137313E-3</v>
      </c>
      <c r="DI105" s="392">
        <f t="shared" si="352"/>
        <v>69.914361370716506</v>
      </c>
      <c r="DJ105" s="384">
        <f t="shared" si="352"/>
        <v>2.1632638773162398E-2</v>
      </c>
      <c r="DK105" s="389">
        <f t="shared" si="352"/>
        <v>1.7575954833182923E-2</v>
      </c>
      <c r="DL105" s="389">
        <f t="shared" si="352"/>
        <v>1.8014118481595419E-2</v>
      </c>
      <c r="DM105" s="391">
        <f t="shared" si="352"/>
        <v>427.83498753894082</v>
      </c>
      <c r="DN105" s="386">
        <f>+DN98</f>
        <v>1.7056636207322132E-2</v>
      </c>
      <c r="DO105" s="388">
        <f>+DO98</f>
        <v>1.3487530619118775E-2</v>
      </c>
      <c r="DP105" s="392">
        <f>+DP98</f>
        <v>305.42095327102805</v>
      </c>
      <c r="DQ105" s="384">
        <f t="shared" si="352"/>
        <v>7.0552705141066693E-2</v>
      </c>
      <c r="DR105" s="389">
        <f t="shared" si="352"/>
        <v>6.0289345539912095E-2</v>
      </c>
      <c r="DS105" s="391">
        <f t="shared" si="352"/>
        <v>1463.8940841121494</v>
      </c>
      <c r="DT105" s="386">
        <f t="shared" si="352"/>
        <v>7.1271897945809634E-3</v>
      </c>
      <c r="DU105" s="392">
        <f t="shared" si="352"/>
        <v>183.53618691588784</v>
      </c>
      <c r="DV105" s="384">
        <f t="shared" ref="DV105:DW105" si="353">+DV98</f>
        <v>4.1379164336514899E-3</v>
      </c>
      <c r="DW105" s="391">
        <f t="shared" si="353"/>
        <v>110.18770872274143</v>
      </c>
      <c r="DX105" s="384">
        <f t="shared" si="352"/>
        <v>9.6864617631627479E-6</v>
      </c>
      <c r="DY105" s="389">
        <f t="shared" si="352"/>
        <v>8.1213307885849533E-6</v>
      </c>
      <c r="DZ105" s="389">
        <f t="shared" si="352"/>
        <v>8.5139043991951906E-6</v>
      </c>
      <c r="EA105" s="385">
        <f>+EA98</f>
        <v>0.21152647975077882</v>
      </c>
      <c r="EB105" s="393">
        <f>SUM(EB96:EB97)</f>
        <v>35</v>
      </c>
      <c r="EC105" s="345">
        <f>SUM(EC96:EC97)</f>
        <v>0</v>
      </c>
      <c r="ED105" s="345">
        <f>SUM(ED96:ED97)</f>
        <v>31207.75</v>
      </c>
      <c r="EE105" s="345">
        <f>SUM(EE96:EE97)</f>
        <v>6451.88</v>
      </c>
      <c r="EF105" s="345">
        <f>SUM(EF96:EF97)</f>
        <v>63642.09</v>
      </c>
      <c r="EG105" s="153"/>
    </row>
    <row r="106" spans="1:230" ht="13.5" thickBot="1">
      <c r="A106" s="153"/>
      <c r="B106" s="224"/>
      <c r="C106" s="153"/>
      <c r="D106" s="394">
        <f>SUM(D100:D105)</f>
        <v>167801226.66999999</v>
      </c>
      <c r="E106" s="394">
        <f t="shared" ref="E106:BI106" si="354">SUM(E100:E105)</f>
        <v>6821241.0599999996</v>
      </c>
      <c r="F106" s="394">
        <f t="shared" si="354"/>
        <v>17132322.84</v>
      </c>
      <c r="G106" s="394">
        <f t="shared" si="354"/>
        <v>0</v>
      </c>
      <c r="H106" s="394">
        <f t="shared" si="354"/>
        <v>8587524.2499999981</v>
      </c>
      <c r="I106" s="394">
        <f t="shared" si="354"/>
        <v>1550803.3900000001</v>
      </c>
      <c r="J106" s="394">
        <f t="shared" si="354"/>
        <v>1604524.29</v>
      </c>
      <c r="K106" s="394">
        <f>SUM(K100:K105)</f>
        <v>1290105.6000000001</v>
      </c>
      <c r="L106" s="394">
        <f t="shared" si="354"/>
        <v>4316485.9800000004</v>
      </c>
      <c r="M106" s="394">
        <f t="shared" si="354"/>
        <v>3094466.91</v>
      </c>
      <c r="N106" s="394">
        <f t="shared" si="354"/>
        <v>243224.25</v>
      </c>
      <c r="O106" s="394">
        <f t="shared" si="354"/>
        <v>54633.459999999992</v>
      </c>
      <c r="P106" s="394">
        <f t="shared" si="354"/>
        <v>2650151.7999999998</v>
      </c>
      <c r="Q106" s="394">
        <f t="shared" si="354"/>
        <v>7629261.8900000006</v>
      </c>
      <c r="R106" s="394">
        <f t="shared" si="354"/>
        <v>2496</v>
      </c>
      <c r="S106" s="394">
        <f t="shared" si="354"/>
        <v>878098.01</v>
      </c>
      <c r="T106" s="394">
        <f t="shared" si="354"/>
        <v>-9873.5299999999988</v>
      </c>
      <c r="U106" s="394">
        <f t="shared" si="354"/>
        <v>7392692.0599999996</v>
      </c>
      <c r="V106" s="394">
        <f t="shared" si="354"/>
        <v>109421644.88</v>
      </c>
      <c r="W106" s="394">
        <f t="shared" si="354"/>
        <v>493033.52</v>
      </c>
      <c r="X106" s="394">
        <f t="shared" si="354"/>
        <v>44238739.530000001</v>
      </c>
      <c r="Y106" s="394">
        <f t="shared" si="354"/>
        <v>5024539.88</v>
      </c>
      <c r="Z106" s="394">
        <f t="shared" si="354"/>
        <v>10945944.699999999</v>
      </c>
      <c r="AA106" s="394">
        <f t="shared" si="354"/>
        <v>630940.24</v>
      </c>
      <c r="AB106" s="394">
        <f t="shared" si="354"/>
        <v>4599775.6400000015</v>
      </c>
      <c r="AC106" s="394">
        <f t="shared" si="354"/>
        <v>1642191.44</v>
      </c>
      <c r="AD106" s="394">
        <f t="shared" si="354"/>
        <v>579777.12</v>
      </c>
      <c r="AE106" s="394">
        <f t="shared" si="354"/>
        <v>466473.5799999999</v>
      </c>
      <c r="AF106" s="394">
        <f t="shared" si="354"/>
        <v>51585.340000000004</v>
      </c>
      <c r="AG106" s="394">
        <f t="shared" si="354"/>
        <v>2834366.5799999991</v>
      </c>
      <c r="AH106" s="394">
        <f t="shared" si="354"/>
        <v>483997.36000000004</v>
      </c>
      <c r="AI106" s="394">
        <f t="shared" si="354"/>
        <v>2892429.5399999996</v>
      </c>
      <c r="AJ106" s="394">
        <f t="shared" si="354"/>
        <v>476449.31</v>
      </c>
      <c r="AK106" s="394">
        <f t="shared" si="354"/>
        <v>3139897.3</v>
      </c>
      <c r="AL106" s="394">
        <f t="shared" si="354"/>
        <v>1877296.7099999995</v>
      </c>
      <c r="AM106" s="394">
        <f t="shared" si="354"/>
        <v>2013450.7500000002</v>
      </c>
      <c r="AN106" s="394">
        <f t="shared" si="354"/>
        <v>6172426.2000000002</v>
      </c>
      <c r="AO106" s="394">
        <f t="shared" si="354"/>
        <v>1793504.98</v>
      </c>
      <c r="AP106" s="394">
        <f t="shared" si="354"/>
        <v>595262.57999999996</v>
      </c>
      <c r="AQ106" s="394">
        <f t="shared" si="354"/>
        <v>1734210.9599999995</v>
      </c>
      <c r="AR106" s="394">
        <f t="shared" si="354"/>
        <v>1097540.55</v>
      </c>
      <c r="AS106" s="394">
        <f t="shared" si="354"/>
        <v>990512.34000000008</v>
      </c>
      <c r="AT106" s="394">
        <f t="shared" si="354"/>
        <v>7460055.8300000001</v>
      </c>
      <c r="AU106" s="394">
        <f t="shared" si="354"/>
        <v>4615976.93</v>
      </c>
      <c r="AV106" s="394">
        <f t="shared" si="354"/>
        <v>9629708.8100000005</v>
      </c>
      <c r="AW106" s="394">
        <f t="shared" si="354"/>
        <v>4134818.5499999993</v>
      </c>
      <c r="AX106" s="394">
        <f>SUM(AX100:AX105)</f>
        <v>21213.5</v>
      </c>
      <c r="AY106" s="394">
        <f t="shared" si="354"/>
        <v>0</v>
      </c>
      <c r="AZ106" s="394">
        <f t="shared" si="354"/>
        <v>531840.54</v>
      </c>
      <c r="BA106" s="394">
        <f t="shared" si="354"/>
        <v>682376.31</v>
      </c>
      <c r="BB106" s="394">
        <f t="shared" si="354"/>
        <v>171879.79</v>
      </c>
      <c r="BC106" s="394">
        <f t="shared" si="354"/>
        <v>230171160.45000005</v>
      </c>
      <c r="BD106" s="394">
        <f t="shared" si="354"/>
        <v>230589605.19000006</v>
      </c>
      <c r="BE106" s="394">
        <f t="shared" si="354"/>
        <v>-418444.73999999987</v>
      </c>
      <c r="BF106" s="394">
        <f t="shared" si="354"/>
        <v>11560078.030000003</v>
      </c>
      <c r="BG106" s="394">
        <f t="shared" si="354"/>
        <v>11141633.290000003</v>
      </c>
      <c r="BH106" s="394">
        <f t="shared" si="354"/>
        <v>32851.5</v>
      </c>
      <c r="BI106" s="395">
        <f t="shared" si="354"/>
        <v>191754790.56999996</v>
      </c>
      <c r="BJ106" s="153"/>
      <c r="BK106" s="396"/>
      <c r="BL106" s="396"/>
      <c r="BM106" s="397"/>
      <c r="BN106" s="397"/>
      <c r="BO106" s="396"/>
      <c r="BP106" s="396"/>
      <c r="BQ106" s="397"/>
      <c r="BR106" s="397"/>
      <c r="BS106" s="396"/>
      <c r="BT106" s="396"/>
      <c r="BU106" s="397"/>
      <c r="BV106" s="397"/>
      <c r="BW106" s="396"/>
      <c r="BX106" s="396"/>
      <c r="BY106" s="397"/>
      <c r="BZ106" s="398"/>
      <c r="CA106" s="399"/>
      <c r="CB106" s="400"/>
      <c r="CC106" s="397"/>
      <c r="CD106" s="398"/>
      <c r="CE106" s="399"/>
      <c r="CF106" s="399"/>
      <c r="CG106" s="399"/>
      <c r="CH106" s="401"/>
      <c r="CI106" s="397"/>
      <c r="CJ106" s="397"/>
      <c r="CK106" s="397"/>
      <c r="CL106" s="402"/>
      <c r="CM106" s="399"/>
      <c r="CN106" s="399"/>
      <c r="CO106" s="399"/>
      <c r="CP106" s="401"/>
      <c r="CQ106" s="397"/>
      <c r="CR106" s="397"/>
      <c r="CS106" s="397"/>
      <c r="CT106" s="402"/>
      <c r="CU106" s="399"/>
      <c r="CV106" s="399"/>
      <c r="CW106" s="399"/>
      <c r="CX106" s="401"/>
      <c r="CY106" s="402"/>
      <c r="CZ106" s="402"/>
      <c r="DA106" s="402"/>
      <c r="DB106" s="401"/>
      <c r="DC106" s="400"/>
      <c r="DD106" s="402"/>
      <c r="DE106" s="402"/>
      <c r="DF106" s="398"/>
      <c r="DG106" s="401"/>
      <c r="DH106" s="401"/>
      <c r="DI106" s="401"/>
      <c r="DJ106" s="402"/>
      <c r="DK106" s="402"/>
      <c r="DL106" s="402"/>
      <c r="DM106" s="398"/>
      <c r="DN106" s="401"/>
      <c r="DO106" s="401"/>
      <c r="DP106" s="400"/>
      <c r="DQ106" s="402"/>
      <c r="DR106" s="402"/>
      <c r="DS106" s="398"/>
      <c r="DT106" s="401"/>
      <c r="DU106" s="400"/>
      <c r="DV106" s="403"/>
      <c r="DW106" s="404"/>
      <c r="DX106" s="402"/>
      <c r="DY106" s="402"/>
      <c r="DZ106" s="402"/>
      <c r="EA106" s="402"/>
      <c r="EB106" s="405">
        <f>SUM(EB100:EB105)</f>
        <v>6437.5</v>
      </c>
      <c r="EC106" s="394">
        <f>SUM(EC100:EC105)</f>
        <v>67435.47</v>
      </c>
      <c r="ED106" s="394">
        <f>SUM(ED100:ED105)</f>
        <v>409743.55999999994</v>
      </c>
      <c r="EE106" s="394">
        <f>SUM(EE100:EE105)</f>
        <v>1416956.0899999996</v>
      </c>
      <c r="EF106" s="394">
        <f>SUM(EF100:EF105)</f>
        <v>5498556.9400000004</v>
      </c>
      <c r="EG106" s="153"/>
    </row>
    <row r="107" spans="1:230" ht="15.75" thickTop="1">
      <c r="A107" s="153"/>
      <c r="B107" s="224"/>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3"/>
      <c r="BF107" s="153"/>
      <c r="BG107" s="153"/>
      <c r="BH107" s="153"/>
      <c r="BI107" s="406"/>
      <c r="BJ107" s="153"/>
      <c r="BK107" s="396"/>
      <c r="BL107" s="396"/>
      <c r="BM107" s="397"/>
      <c r="BN107" s="397"/>
      <c r="BO107" s="396"/>
      <c r="BP107" s="396"/>
      <c r="BQ107" s="397"/>
      <c r="BR107" s="397"/>
      <c r="BS107" s="396"/>
      <c r="BT107" s="396"/>
      <c r="BU107" s="397"/>
      <c r="BV107" s="397"/>
      <c r="BW107" s="396"/>
      <c r="BX107" s="396"/>
      <c r="BY107" s="397"/>
      <c r="BZ107" s="398"/>
      <c r="CA107" s="399"/>
      <c r="CB107" s="400"/>
      <c r="CC107" s="397"/>
      <c r="CD107" s="398"/>
      <c r="CE107" s="399"/>
      <c r="CF107" s="399"/>
      <c r="CG107" s="399"/>
      <c r="CH107" s="401"/>
      <c r="CI107" s="397"/>
      <c r="CJ107" s="397"/>
      <c r="CK107" s="397"/>
      <c r="CL107" s="402"/>
      <c r="CM107" s="399"/>
      <c r="CN107" s="399"/>
      <c r="CO107" s="399"/>
      <c r="CP107" s="401"/>
      <c r="CQ107" s="397"/>
      <c r="CR107" s="397"/>
      <c r="CS107" s="397"/>
      <c r="CT107" s="402"/>
      <c r="CU107" s="399"/>
      <c r="CV107" s="399"/>
      <c r="CW107" s="399"/>
      <c r="CX107" s="401"/>
      <c r="CY107" s="402"/>
      <c r="CZ107" s="402"/>
      <c r="DA107" s="402"/>
      <c r="DB107" s="401"/>
      <c r="DC107" s="400"/>
      <c r="DD107" s="402"/>
      <c r="DE107" s="402"/>
      <c r="DF107" s="398"/>
      <c r="DG107" s="401"/>
      <c r="DH107" s="401"/>
      <c r="DI107" s="401"/>
      <c r="DJ107" s="402"/>
      <c r="DK107" s="402"/>
      <c r="DL107" s="402"/>
      <c r="DM107" s="398"/>
      <c r="DN107" s="401"/>
      <c r="DO107" s="401"/>
      <c r="DP107" s="400"/>
      <c r="DQ107" s="402"/>
      <c r="DR107" s="402"/>
      <c r="DS107" s="398"/>
      <c r="DT107" s="401"/>
      <c r="DU107" s="400"/>
      <c r="DV107" s="403"/>
      <c r="DW107" s="404"/>
      <c r="DX107" s="402"/>
      <c r="DY107" s="402"/>
      <c r="DZ107" s="402"/>
      <c r="EA107" s="402"/>
      <c r="EB107" s="407"/>
      <c r="EC107" s="153"/>
      <c r="ED107" s="153"/>
      <c r="EE107" s="153"/>
      <c r="EF107" s="153"/>
      <c r="EG107" s="153"/>
    </row>
    <row r="108" spans="1:230" s="14" customFormat="1" ht="12.75">
      <c r="A108" s="408"/>
      <c r="B108" s="409"/>
      <c r="C108" s="344"/>
      <c r="D108" s="409"/>
      <c r="E108" s="408"/>
      <c r="F108" s="409"/>
      <c r="G108" s="408"/>
      <c r="H108" s="409"/>
      <c r="I108" s="408"/>
      <c r="J108" s="409"/>
      <c r="K108" s="408"/>
      <c r="L108" s="408"/>
      <c r="M108" s="409"/>
      <c r="N108" s="408"/>
      <c r="O108" s="409"/>
      <c r="P108" s="408"/>
      <c r="Q108" s="409"/>
      <c r="R108" s="408"/>
      <c r="S108" s="409"/>
      <c r="T108" s="408"/>
      <c r="U108" s="408"/>
      <c r="V108" s="409"/>
      <c r="W108" s="408"/>
      <c r="X108" s="409"/>
      <c r="Y108" s="408"/>
      <c r="Z108" s="409"/>
      <c r="AA108" s="408"/>
      <c r="AB108" s="409"/>
      <c r="AC108" s="408"/>
      <c r="AD108" s="409"/>
      <c r="AE108" s="408"/>
      <c r="AF108" s="409"/>
      <c r="AG108" s="408"/>
      <c r="AH108" s="409"/>
      <c r="AI108" s="408"/>
      <c r="AJ108" s="409"/>
      <c r="AK108" s="408"/>
      <c r="AL108" s="409"/>
      <c r="AM108" s="408"/>
      <c r="AN108" s="409"/>
      <c r="AO108" s="408"/>
      <c r="AP108" s="409"/>
      <c r="AQ108" s="408"/>
      <c r="AR108" s="409"/>
      <c r="AS108" s="408"/>
      <c r="AT108" s="409"/>
      <c r="AU108" s="408"/>
      <c r="AV108" s="409"/>
      <c r="AW108" s="408"/>
      <c r="AX108" s="409"/>
      <c r="AY108" s="409"/>
      <c r="AZ108" s="408"/>
      <c r="BA108" s="409"/>
      <c r="BB108" s="408"/>
      <c r="BC108" s="409"/>
      <c r="BD108" s="408"/>
      <c r="BE108" s="409"/>
      <c r="BF108" s="408"/>
      <c r="BG108" s="409"/>
      <c r="BH108" s="408"/>
      <c r="BI108" s="410"/>
      <c r="BJ108" s="409"/>
      <c r="BK108" s="408"/>
      <c r="BL108" s="409"/>
      <c r="BM108" s="402"/>
      <c r="BN108" s="411"/>
      <c r="BO108" s="408"/>
      <c r="BP108" s="409"/>
      <c r="BQ108" s="402"/>
      <c r="BR108" s="411"/>
      <c r="BS108" s="408"/>
      <c r="BT108" s="409"/>
      <c r="BU108" s="402"/>
      <c r="BV108" s="411"/>
      <c r="BW108" s="408"/>
      <c r="BX108" s="409"/>
      <c r="BY108" s="402"/>
      <c r="BZ108" s="411"/>
      <c r="CA108" s="401"/>
      <c r="CB108" s="412"/>
      <c r="CC108" s="402"/>
      <c r="CD108" s="411"/>
      <c r="CE108" s="401"/>
      <c r="CF108" s="412"/>
      <c r="CG108" s="401"/>
      <c r="CH108" s="412"/>
      <c r="CI108" s="402"/>
      <c r="CJ108" s="411"/>
      <c r="CK108" s="402"/>
      <c r="CL108" s="411"/>
      <c r="CM108" s="401"/>
      <c r="CN108" s="412"/>
      <c r="CO108" s="401"/>
      <c r="CP108" s="412"/>
      <c r="CQ108" s="402"/>
      <c r="CR108" s="411"/>
      <c r="CS108" s="402"/>
      <c r="CT108" s="411"/>
      <c r="CU108" s="401"/>
      <c r="CV108" s="412"/>
      <c r="CW108" s="401"/>
      <c r="CX108" s="412"/>
      <c r="CY108" s="402"/>
      <c r="CZ108" s="411"/>
      <c r="DA108" s="411"/>
      <c r="DB108" s="401"/>
      <c r="DC108" s="412"/>
      <c r="DD108" s="402"/>
      <c r="DE108" s="411"/>
      <c r="DF108" s="411"/>
      <c r="DG108" s="401"/>
      <c r="DH108" s="412"/>
      <c r="DI108" s="412"/>
      <c r="DJ108" s="411"/>
      <c r="DK108" s="402"/>
      <c r="DL108" s="411"/>
      <c r="DM108" s="402"/>
      <c r="DN108" s="412"/>
      <c r="DO108" s="401"/>
      <c r="DP108" s="412"/>
      <c r="DQ108" s="411"/>
      <c r="DR108" s="402"/>
      <c r="DS108" s="411"/>
      <c r="DT108" s="401"/>
      <c r="DU108" s="412"/>
      <c r="DV108" s="403"/>
      <c r="DW108" s="413"/>
      <c r="DX108" s="402"/>
      <c r="DY108" s="411"/>
      <c r="DZ108" s="402"/>
      <c r="EA108" s="411"/>
      <c r="EB108" s="409"/>
      <c r="EC108" s="408"/>
      <c r="ED108" s="408"/>
      <c r="EE108" s="408"/>
      <c r="EF108" s="408"/>
      <c r="EG108" s="153"/>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row>
    <row r="109" spans="1:230">
      <c r="A109" s="153"/>
      <c r="B109" s="224"/>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406"/>
      <c r="BJ109" s="153"/>
      <c r="BK109" s="396"/>
      <c r="BL109" s="396"/>
      <c r="BM109" s="397"/>
      <c r="BN109" s="397"/>
      <c r="BO109" s="396"/>
      <c r="BP109" s="396"/>
      <c r="BQ109" s="397"/>
      <c r="BR109" s="397"/>
      <c r="BS109" s="396"/>
      <c r="BT109" s="396"/>
      <c r="BU109" s="397"/>
      <c r="BV109" s="397"/>
      <c r="BW109" s="396"/>
      <c r="BX109" s="396"/>
      <c r="BY109" s="397"/>
      <c r="BZ109" s="398"/>
      <c r="CA109" s="399"/>
      <c r="CB109" s="400"/>
      <c r="CC109" s="397"/>
      <c r="CD109" s="398"/>
      <c r="CE109" s="399"/>
      <c r="CF109" s="399"/>
      <c r="CG109" s="399"/>
      <c r="CH109" s="401"/>
      <c r="CI109" s="397"/>
      <c r="CJ109" s="397"/>
      <c r="CK109" s="397"/>
      <c r="CL109" s="402"/>
      <c r="CM109" s="399"/>
      <c r="CN109" s="399"/>
      <c r="CO109" s="399"/>
      <c r="CP109" s="401"/>
      <c r="CQ109" s="397"/>
      <c r="CR109" s="397"/>
      <c r="CS109" s="397"/>
      <c r="CT109" s="402"/>
      <c r="CU109" s="399"/>
      <c r="CV109" s="399"/>
      <c r="CW109" s="399"/>
      <c r="CX109" s="401"/>
      <c r="CY109" s="402"/>
      <c r="CZ109" s="402"/>
      <c r="DA109" s="402"/>
      <c r="DB109" s="401"/>
      <c r="DC109" s="400"/>
      <c r="DD109" s="402"/>
      <c r="DE109" s="402"/>
      <c r="DF109" s="398"/>
      <c r="DG109" s="401"/>
      <c r="DH109" s="401"/>
      <c r="DI109" s="401"/>
      <c r="DJ109" s="402"/>
      <c r="DK109" s="402"/>
      <c r="DL109" s="402"/>
      <c r="DM109" s="398"/>
      <c r="DN109" s="401"/>
      <c r="DO109" s="401"/>
      <c r="DP109" s="400"/>
      <c r="DQ109" s="402"/>
      <c r="DR109" s="402"/>
      <c r="DS109" s="398"/>
      <c r="DT109" s="401"/>
      <c r="DU109" s="400"/>
      <c r="DV109" s="403"/>
      <c r="DW109" s="404"/>
      <c r="DX109" s="402"/>
      <c r="DY109" s="402"/>
      <c r="DZ109" s="402"/>
      <c r="EA109" s="402"/>
      <c r="EB109" s="407"/>
      <c r="EC109" s="153"/>
      <c r="ED109" s="153"/>
      <c r="EE109" s="153"/>
      <c r="EF109" s="153"/>
      <c r="EG109" s="153"/>
    </row>
    <row r="110" spans="1:230" s="31" customFormat="1" ht="16.5" thickBot="1">
      <c r="A110" s="414"/>
      <c r="B110" s="415"/>
      <c r="C110" s="416" t="s">
        <v>313</v>
      </c>
      <c r="D110" s="417">
        <f>CFR20212022_BenchMarkDataReport!T91</f>
        <v>167801226.67000002</v>
      </c>
      <c r="E110" s="417">
        <f>CFR20212022_BenchMarkDataReport!U91</f>
        <v>6821241.0599999996</v>
      </c>
      <c r="F110" s="417">
        <f>CFR20212022_BenchMarkDataReport!V91</f>
        <v>17132322.84</v>
      </c>
      <c r="G110" s="417">
        <f>CFR20212022_BenchMarkDataReport!W91</f>
        <v>0</v>
      </c>
      <c r="H110" s="417">
        <f>CFR20212022_BenchMarkDataReport!X91</f>
        <v>8587524.2499999981</v>
      </c>
      <c r="I110" s="417">
        <f>CFR20212022_BenchMarkDataReport!Y91</f>
        <v>1550803.3900000004</v>
      </c>
      <c r="J110" s="417">
        <f>CFR20212022_BenchMarkDataReport!Z91</f>
        <v>1604524.2900000003</v>
      </c>
      <c r="K110" s="417">
        <f>CFR20212022_BenchMarkDataReport!AA91</f>
        <v>1290105.5999999996</v>
      </c>
      <c r="L110" s="417">
        <f>CFR20212022_BenchMarkDataReport!AB91</f>
        <v>4316485.9799999995</v>
      </c>
      <c r="M110" s="417">
        <f>CFR20212022_BenchMarkDataReport!AC91</f>
        <v>3094466.9100000006</v>
      </c>
      <c r="N110" s="417">
        <f>CFR20212022_BenchMarkDataReport!AD91</f>
        <v>243224.24999999997</v>
      </c>
      <c r="O110" s="417">
        <f>CFR20212022_BenchMarkDataReport!AE91</f>
        <v>54633.459999999992</v>
      </c>
      <c r="P110" s="417">
        <f>CFR20212022_BenchMarkDataReport!AF91</f>
        <v>2650151.8000000003</v>
      </c>
      <c r="Q110" s="417">
        <f>CFR20212022_BenchMarkDataReport!AG91</f>
        <v>7629261.8899999997</v>
      </c>
      <c r="R110" s="417">
        <f>CFR20212022_BenchMarkDataReport!AH91</f>
        <v>2496</v>
      </c>
      <c r="S110" s="417">
        <f>CFR20212022_BenchMarkDataReport!AI91</f>
        <v>878098.01</v>
      </c>
      <c r="T110" s="417">
        <f>CFR20212022_BenchMarkDataReport!AJ91</f>
        <v>-9873.5299999999988</v>
      </c>
      <c r="U110" s="417">
        <f>EC110+ED110+EE110+EF110</f>
        <v>7392692.0600000005</v>
      </c>
      <c r="V110" s="417">
        <f>CFR20212022_BenchMarkDataReport!AO91</f>
        <v>109421644.88</v>
      </c>
      <c r="W110" s="417">
        <f>CFR20212022_BenchMarkDataReport!AP91</f>
        <v>493033.52</v>
      </c>
      <c r="X110" s="417">
        <f>CFR20212022_BenchMarkDataReport!AQ91</f>
        <v>44238739.529999994</v>
      </c>
      <c r="Y110" s="417">
        <f>CFR20212022_BenchMarkDataReport!AR91</f>
        <v>5024539.88</v>
      </c>
      <c r="Z110" s="417">
        <f>CFR20212022_BenchMarkDataReport!AS91</f>
        <v>10945944.699999999</v>
      </c>
      <c r="AA110" s="417">
        <f>CFR20212022_BenchMarkDataReport!AT91</f>
        <v>630940.24</v>
      </c>
      <c r="AB110" s="417">
        <f>CFR20212022_BenchMarkDataReport!AU91</f>
        <v>4599775.6400000006</v>
      </c>
      <c r="AC110" s="417">
        <f>CFR20212022_BenchMarkDataReport!AV91</f>
        <v>1642191.4400000002</v>
      </c>
      <c r="AD110" s="417">
        <f>CFR20212022_BenchMarkDataReport!AW91</f>
        <v>579777.12000000011</v>
      </c>
      <c r="AE110" s="417">
        <f>CFR20212022_BenchMarkDataReport!AX91</f>
        <v>466473.58000000007</v>
      </c>
      <c r="AF110" s="417">
        <f>CFR20212022_BenchMarkDataReport!AY91</f>
        <v>51585.34</v>
      </c>
      <c r="AG110" s="417">
        <f>CFR20212022_BenchMarkDataReport!AZ91</f>
        <v>2834366.5799999996</v>
      </c>
      <c r="AH110" s="417">
        <f>CFR20212022_BenchMarkDataReport!BA91</f>
        <v>483997.36000000004</v>
      </c>
      <c r="AI110" s="417">
        <f>CFR20212022_BenchMarkDataReport!BB91</f>
        <v>2892429.5400000005</v>
      </c>
      <c r="AJ110" s="417">
        <f>CFR20212022_BenchMarkDataReport!BC91</f>
        <v>476449.31000000006</v>
      </c>
      <c r="AK110" s="417">
        <f>CFR20212022_BenchMarkDataReport!BD91</f>
        <v>3139897.3</v>
      </c>
      <c r="AL110" s="417">
        <f>CFR20212022_BenchMarkDataReport!BE91</f>
        <v>1877296.7099999993</v>
      </c>
      <c r="AM110" s="417">
        <f>CFR20212022_BenchMarkDataReport!BF91</f>
        <v>2013450.75</v>
      </c>
      <c r="AN110" s="417">
        <f>CFR20212022_BenchMarkDataReport!BG91</f>
        <v>6172426.2000000011</v>
      </c>
      <c r="AO110" s="417">
        <f>CFR20212022_BenchMarkDataReport!BH91</f>
        <v>1793504.9800000004</v>
      </c>
      <c r="AP110" s="417">
        <f>CFR20212022_BenchMarkDataReport!BI91</f>
        <v>595262.58000000007</v>
      </c>
      <c r="AQ110" s="417">
        <f>CFR20212022_BenchMarkDataReport!BJ91</f>
        <v>1734210.9600000002</v>
      </c>
      <c r="AR110" s="417">
        <f>CFR20212022_BenchMarkDataReport!BK91</f>
        <v>1097540.5500000003</v>
      </c>
      <c r="AS110" s="417">
        <f>CFR20212022_BenchMarkDataReport!BL91</f>
        <v>990512.33999999985</v>
      </c>
      <c r="AT110" s="417">
        <f>CFR20212022_BenchMarkDataReport!BM91</f>
        <v>7460055.830000001</v>
      </c>
      <c r="AU110" s="417">
        <f>CFR20212022_BenchMarkDataReport!BN91</f>
        <v>4615976.9300000006</v>
      </c>
      <c r="AV110" s="417">
        <f>CFR20212022_BenchMarkDataReport!BO91</f>
        <v>9629708.8100000024</v>
      </c>
      <c r="AW110" s="417">
        <f>CFR20212022_BenchMarkDataReport!BP91</f>
        <v>4134818.5500000003</v>
      </c>
      <c r="AX110" s="417">
        <f>CFR20212022_BenchMarkDataReport!BQ91</f>
        <v>21213.5</v>
      </c>
      <c r="AY110" s="417">
        <f>CFR20212022_BenchMarkDataReport!BR91</f>
        <v>0</v>
      </c>
      <c r="AZ110" s="417">
        <f>CFR20212022_BenchMarkDataReport!BS91</f>
        <v>531840.54</v>
      </c>
      <c r="BA110" s="417">
        <f>CFR20212022_BenchMarkDataReport!BT91</f>
        <v>682376.31</v>
      </c>
      <c r="BB110" s="417">
        <f>CFR20212022_BenchMarkDataReport!BU91</f>
        <v>171879.78999999998</v>
      </c>
      <c r="BC110" s="418"/>
      <c r="BD110" s="418"/>
      <c r="BE110" s="419">
        <f>BC110-BD110</f>
        <v>0</v>
      </c>
      <c r="BF110" s="417">
        <f>CFR20212022_BenchMarkDataReport!Q91</f>
        <v>11560078.030000001</v>
      </c>
      <c r="BG110" s="418">
        <f>[68]CFR20192020_BenchMarkDataReport!$BZ$93+[68]CFR20192020_BenchMarkDataReport!$CA$93</f>
        <v>9034359.9399999995</v>
      </c>
      <c r="BH110" s="418">
        <f>'Pupil Nos BenchmarkData 21-22'!E95</f>
        <v>32851.5</v>
      </c>
      <c r="BI110" s="420">
        <f>D106+E106+F106</f>
        <v>191754790.56999999</v>
      </c>
      <c r="BJ110" s="421"/>
      <c r="BK110" s="422"/>
      <c r="BL110" s="422"/>
      <c r="BM110" s="423"/>
      <c r="BN110" s="423"/>
      <c r="BO110" s="422"/>
      <c r="BP110" s="422"/>
      <c r="BQ110" s="423"/>
      <c r="BR110" s="423"/>
      <c r="BS110" s="422"/>
      <c r="BT110" s="422"/>
      <c r="BU110" s="423"/>
      <c r="BV110" s="423"/>
      <c r="BW110" s="422"/>
      <c r="BX110" s="422"/>
      <c r="BY110" s="423"/>
      <c r="BZ110" s="423"/>
      <c r="CA110" s="424"/>
      <c r="CB110" s="425"/>
      <c r="CC110" s="423"/>
      <c r="CD110" s="426"/>
      <c r="CE110" s="424"/>
      <c r="CF110" s="424"/>
      <c r="CG110" s="424"/>
      <c r="CH110" s="425"/>
      <c r="CI110" s="423"/>
      <c r="CJ110" s="423"/>
      <c r="CK110" s="423"/>
      <c r="CL110" s="426"/>
      <c r="CM110" s="424"/>
      <c r="CN110" s="424"/>
      <c r="CO110" s="424"/>
      <c r="CP110" s="425"/>
      <c r="CQ110" s="423"/>
      <c r="CR110" s="423"/>
      <c r="CS110" s="423"/>
      <c r="CT110" s="426"/>
      <c r="CU110" s="424"/>
      <c r="CV110" s="424"/>
      <c r="CW110" s="424"/>
      <c r="CX110" s="425"/>
      <c r="CY110" s="423"/>
      <c r="CZ110" s="423"/>
      <c r="DA110" s="426"/>
      <c r="DB110" s="424"/>
      <c r="DC110" s="425"/>
      <c r="DD110" s="423"/>
      <c r="DE110" s="423"/>
      <c r="DF110" s="426"/>
      <c r="DG110" s="424"/>
      <c r="DH110" s="424"/>
      <c r="DI110" s="424"/>
      <c r="DJ110" s="423"/>
      <c r="DK110" s="423"/>
      <c r="DL110" s="423"/>
      <c r="DM110" s="426"/>
      <c r="DN110" s="424"/>
      <c r="DO110" s="424"/>
      <c r="DP110" s="425"/>
      <c r="DQ110" s="423"/>
      <c r="DR110" s="423"/>
      <c r="DS110" s="426"/>
      <c r="DT110" s="427"/>
      <c r="DU110" s="425"/>
      <c r="DV110" s="428"/>
      <c r="DW110" s="429"/>
      <c r="DX110" s="423"/>
      <c r="DY110" s="423"/>
      <c r="DZ110" s="423"/>
      <c r="EA110" s="423"/>
      <c r="EB110" s="430"/>
      <c r="EC110" s="417">
        <f>CFR20212022_BenchMarkDataReport!AK91</f>
        <v>67435.47</v>
      </c>
      <c r="ED110" s="417">
        <f>CFR20212022_BenchMarkDataReport!AL91</f>
        <v>409743.56</v>
      </c>
      <c r="EE110" s="417">
        <f>CFR20212022_BenchMarkDataReport!AM91</f>
        <v>1416956.0900000003</v>
      </c>
      <c r="EF110" s="417">
        <f>CFR20212022_BenchMarkDataReport!AN91</f>
        <v>5498556.9400000004</v>
      </c>
      <c r="EG110" s="431"/>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FY110" s="32"/>
      <c r="FZ110" s="32"/>
      <c r="GA110" s="32"/>
      <c r="GB110" s="32"/>
      <c r="GC110" s="32"/>
      <c r="GD110" s="32"/>
      <c r="GE110" s="32"/>
      <c r="GF110" s="32"/>
      <c r="GG110" s="32"/>
      <c r="GH110" s="32"/>
      <c r="GI110" s="32"/>
      <c r="GJ110" s="32"/>
      <c r="GK110" s="32"/>
      <c r="GL110" s="32"/>
      <c r="GM110" s="32"/>
      <c r="GN110" s="32"/>
      <c r="GO110" s="32"/>
      <c r="GP110" s="32"/>
      <c r="GQ110" s="32"/>
      <c r="GR110" s="32"/>
      <c r="GS110" s="32"/>
      <c r="GT110" s="32"/>
      <c r="GU110" s="32"/>
      <c r="GV110" s="32"/>
      <c r="GW110" s="32"/>
      <c r="GX110" s="32"/>
      <c r="GY110" s="32"/>
      <c r="GZ110" s="32"/>
      <c r="HA110" s="32"/>
      <c r="HB110" s="32"/>
      <c r="HC110" s="32"/>
      <c r="HD110" s="32"/>
      <c r="HE110" s="32"/>
      <c r="HF110" s="32"/>
      <c r="HG110" s="32"/>
      <c r="HH110" s="32"/>
      <c r="HI110" s="32"/>
      <c r="HJ110" s="32"/>
      <c r="HK110" s="32"/>
      <c r="HL110" s="32"/>
      <c r="HM110" s="32"/>
      <c r="HN110" s="32"/>
      <c r="HO110" s="32"/>
      <c r="HP110" s="32"/>
      <c r="HQ110" s="32"/>
      <c r="HR110" s="32"/>
      <c r="HS110" s="32"/>
      <c r="HT110" s="32"/>
      <c r="HU110" s="32"/>
      <c r="HV110" s="32"/>
    </row>
    <row r="111" spans="1:230" ht="15.75" thickTop="1">
      <c r="A111" s="153"/>
      <c r="B111" s="224"/>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432"/>
      <c r="BD111" s="153"/>
      <c r="BE111" s="153"/>
      <c r="BF111" s="153"/>
      <c r="BG111" s="153"/>
      <c r="BH111" s="153"/>
      <c r="BI111" s="406"/>
      <c r="BJ111" s="153"/>
      <c r="BK111" s="396"/>
      <c r="BL111" s="396"/>
      <c r="BM111" s="397"/>
      <c r="BN111" s="397"/>
      <c r="BO111" s="396"/>
      <c r="BP111" s="396"/>
      <c r="BQ111" s="397"/>
      <c r="BR111" s="397"/>
      <c r="BS111" s="396"/>
      <c r="BT111" s="396"/>
      <c r="BU111" s="397"/>
      <c r="BV111" s="397"/>
      <c r="BW111" s="396"/>
      <c r="BX111" s="396"/>
      <c r="BY111" s="397"/>
      <c r="BZ111" s="398"/>
      <c r="CA111" s="399"/>
      <c r="CB111" s="400"/>
      <c r="CC111" s="397"/>
      <c r="CD111" s="398"/>
      <c r="CE111" s="399"/>
      <c r="CF111" s="399"/>
      <c r="CG111" s="399"/>
      <c r="CH111" s="401"/>
      <c r="CI111" s="397"/>
      <c r="CJ111" s="397"/>
      <c r="CK111" s="397"/>
      <c r="CL111" s="402"/>
      <c r="CM111" s="399"/>
      <c r="CN111" s="399"/>
      <c r="CO111" s="399"/>
      <c r="CP111" s="401"/>
      <c r="CQ111" s="397"/>
      <c r="CR111" s="397"/>
      <c r="CS111" s="397"/>
      <c r="CT111" s="402"/>
      <c r="CU111" s="399"/>
      <c r="CV111" s="399"/>
      <c r="CW111" s="399"/>
      <c r="CX111" s="401"/>
      <c r="CY111" s="402"/>
      <c r="CZ111" s="402"/>
      <c r="DA111" s="402"/>
      <c r="DB111" s="401"/>
      <c r="DC111" s="400"/>
      <c r="DD111" s="402"/>
      <c r="DE111" s="402"/>
      <c r="DF111" s="398"/>
      <c r="DG111" s="401"/>
      <c r="DH111" s="401"/>
      <c r="DI111" s="401"/>
      <c r="DJ111" s="402"/>
      <c r="DK111" s="402"/>
      <c r="DL111" s="402"/>
      <c r="DM111" s="398"/>
      <c r="DN111" s="401"/>
      <c r="DO111" s="401"/>
      <c r="DP111" s="400"/>
      <c r="DQ111" s="402"/>
      <c r="DR111" s="402"/>
      <c r="DS111" s="398"/>
      <c r="DT111" s="401"/>
      <c r="DU111" s="400"/>
      <c r="DV111" s="403"/>
      <c r="DW111" s="404"/>
      <c r="DX111" s="402"/>
      <c r="DY111" s="402"/>
      <c r="DZ111" s="402"/>
      <c r="EA111" s="402"/>
      <c r="EB111" s="407"/>
      <c r="EC111" s="153"/>
      <c r="ED111" s="153"/>
      <c r="EE111" s="153"/>
      <c r="EF111" s="153"/>
      <c r="EG111" s="153"/>
    </row>
    <row r="112" spans="1:230">
      <c r="A112" s="153"/>
      <c r="B112" s="224"/>
      <c r="C112" s="370" t="s">
        <v>357</v>
      </c>
      <c r="D112" s="433">
        <f>D106-D110</f>
        <v>0</v>
      </c>
      <c r="E112" s="433">
        <f t="shared" ref="E112:BI112" si="355">E106-E110</f>
        <v>0</v>
      </c>
      <c r="F112" s="433">
        <f t="shared" si="355"/>
        <v>0</v>
      </c>
      <c r="G112" s="433">
        <f t="shared" si="355"/>
        <v>0</v>
      </c>
      <c r="H112" s="433">
        <f t="shared" si="355"/>
        <v>0</v>
      </c>
      <c r="I112" s="433">
        <f t="shared" si="355"/>
        <v>0</v>
      </c>
      <c r="J112" s="433">
        <f t="shared" si="355"/>
        <v>0</v>
      </c>
      <c r="K112" s="433">
        <f>K106-K110</f>
        <v>0</v>
      </c>
      <c r="L112" s="433">
        <f t="shared" si="355"/>
        <v>0</v>
      </c>
      <c r="M112" s="433">
        <f t="shared" si="355"/>
        <v>0</v>
      </c>
      <c r="N112" s="433">
        <f t="shared" si="355"/>
        <v>0</v>
      </c>
      <c r="O112" s="433">
        <f t="shared" si="355"/>
        <v>0</v>
      </c>
      <c r="P112" s="433">
        <f t="shared" si="355"/>
        <v>0</v>
      </c>
      <c r="Q112" s="433">
        <f t="shared" si="355"/>
        <v>0</v>
      </c>
      <c r="R112" s="433">
        <f t="shared" si="355"/>
        <v>0</v>
      </c>
      <c r="S112" s="433">
        <f t="shared" si="355"/>
        <v>0</v>
      </c>
      <c r="T112" s="433">
        <f t="shared" si="355"/>
        <v>0</v>
      </c>
      <c r="U112" s="433">
        <f t="shared" si="355"/>
        <v>0</v>
      </c>
      <c r="V112" s="433">
        <f t="shared" si="355"/>
        <v>0</v>
      </c>
      <c r="W112" s="433">
        <f t="shared" si="355"/>
        <v>0</v>
      </c>
      <c r="X112" s="433">
        <f t="shared" si="355"/>
        <v>0</v>
      </c>
      <c r="Y112" s="433">
        <f t="shared" si="355"/>
        <v>0</v>
      </c>
      <c r="Z112" s="433">
        <f t="shared" si="355"/>
        <v>0</v>
      </c>
      <c r="AA112" s="433">
        <f t="shared" si="355"/>
        <v>0</v>
      </c>
      <c r="AB112" s="433">
        <f t="shared" si="355"/>
        <v>0</v>
      </c>
      <c r="AC112" s="433">
        <f t="shared" si="355"/>
        <v>0</v>
      </c>
      <c r="AD112" s="433">
        <f t="shared" si="355"/>
        <v>0</v>
      </c>
      <c r="AE112" s="433">
        <f t="shared" si="355"/>
        <v>0</v>
      </c>
      <c r="AF112" s="433">
        <f t="shared" si="355"/>
        <v>0</v>
      </c>
      <c r="AG112" s="433">
        <f t="shared" si="355"/>
        <v>0</v>
      </c>
      <c r="AH112" s="433">
        <f t="shared" si="355"/>
        <v>0</v>
      </c>
      <c r="AI112" s="433">
        <f t="shared" si="355"/>
        <v>0</v>
      </c>
      <c r="AJ112" s="433">
        <f t="shared" si="355"/>
        <v>0</v>
      </c>
      <c r="AK112" s="433">
        <f t="shared" si="355"/>
        <v>0</v>
      </c>
      <c r="AL112" s="433">
        <f t="shared" si="355"/>
        <v>0</v>
      </c>
      <c r="AM112" s="433">
        <f t="shared" si="355"/>
        <v>0</v>
      </c>
      <c r="AN112" s="433">
        <f t="shared" si="355"/>
        <v>0</v>
      </c>
      <c r="AO112" s="433">
        <f t="shared" si="355"/>
        <v>0</v>
      </c>
      <c r="AP112" s="433">
        <f t="shared" si="355"/>
        <v>0</v>
      </c>
      <c r="AQ112" s="433">
        <f t="shared" si="355"/>
        <v>0</v>
      </c>
      <c r="AR112" s="433">
        <f t="shared" si="355"/>
        <v>0</v>
      </c>
      <c r="AS112" s="433">
        <f t="shared" si="355"/>
        <v>0</v>
      </c>
      <c r="AT112" s="433">
        <f t="shared" si="355"/>
        <v>0</v>
      </c>
      <c r="AU112" s="433">
        <f t="shared" si="355"/>
        <v>0</v>
      </c>
      <c r="AV112" s="433">
        <f t="shared" si="355"/>
        <v>0</v>
      </c>
      <c r="AW112" s="433">
        <f t="shared" si="355"/>
        <v>0</v>
      </c>
      <c r="AX112" s="433">
        <f>AX106-AX110</f>
        <v>0</v>
      </c>
      <c r="AY112" s="433">
        <f t="shared" si="355"/>
        <v>0</v>
      </c>
      <c r="AZ112" s="433">
        <f t="shared" si="355"/>
        <v>0</v>
      </c>
      <c r="BA112" s="433">
        <f t="shared" si="355"/>
        <v>0</v>
      </c>
      <c r="BB112" s="433">
        <f t="shared" si="355"/>
        <v>0</v>
      </c>
      <c r="BC112" s="433">
        <f>BC106-BC110</f>
        <v>230171160.45000005</v>
      </c>
      <c r="BD112" s="433">
        <f t="shared" si="355"/>
        <v>230589605.19000006</v>
      </c>
      <c r="BE112" s="433">
        <f t="shared" si="355"/>
        <v>-418444.73999999987</v>
      </c>
      <c r="BF112" s="433">
        <f t="shared" si="355"/>
        <v>0</v>
      </c>
      <c r="BG112" s="433">
        <f t="shared" si="355"/>
        <v>2107273.3500000034</v>
      </c>
      <c r="BH112" s="433">
        <f t="shared" si="355"/>
        <v>0</v>
      </c>
      <c r="BI112" s="406">
        <f t="shared" si="355"/>
        <v>0</v>
      </c>
      <c r="BJ112" s="153"/>
      <c r="BK112" s="396"/>
      <c r="BL112" s="396"/>
      <c r="BM112" s="397"/>
      <c r="BN112" s="397"/>
      <c r="BO112" s="396"/>
      <c r="BP112" s="396"/>
      <c r="BQ112" s="397"/>
      <c r="BR112" s="397"/>
      <c r="BS112" s="396"/>
      <c r="BT112" s="396"/>
      <c r="BU112" s="397"/>
      <c r="BV112" s="397"/>
      <c r="BW112" s="396"/>
      <c r="BX112" s="396"/>
      <c r="BY112" s="397"/>
      <c r="BZ112" s="398"/>
      <c r="CA112" s="399"/>
      <c r="CB112" s="400"/>
      <c r="CC112" s="397"/>
      <c r="CD112" s="398"/>
      <c r="CE112" s="399"/>
      <c r="CF112" s="399"/>
      <c r="CG112" s="399"/>
      <c r="CH112" s="401"/>
      <c r="CI112" s="397"/>
      <c r="CJ112" s="397"/>
      <c r="CK112" s="397"/>
      <c r="CL112" s="402"/>
      <c r="CM112" s="399"/>
      <c r="CN112" s="399"/>
      <c r="CO112" s="399"/>
      <c r="CP112" s="401"/>
      <c r="CQ112" s="397"/>
      <c r="CR112" s="397"/>
      <c r="CS112" s="397"/>
      <c r="CT112" s="402"/>
      <c r="CU112" s="399"/>
      <c r="CV112" s="399"/>
      <c r="CW112" s="399"/>
      <c r="CX112" s="401"/>
      <c r="CY112" s="402"/>
      <c r="CZ112" s="402"/>
      <c r="DA112" s="402"/>
      <c r="DB112" s="401"/>
      <c r="DC112" s="400"/>
      <c r="DD112" s="402"/>
      <c r="DE112" s="402"/>
      <c r="DF112" s="398"/>
      <c r="DG112" s="401"/>
      <c r="DH112" s="401"/>
      <c r="DI112" s="401"/>
      <c r="DJ112" s="402"/>
      <c r="DK112" s="402"/>
      <c r="DL112" s="402"/>
      <c r="DM112" s="398"/>
      <c r="DN112" s="401"/>
      <c r="DO112" s="401"/>
      <c r="DP112" s="400"/>
      <c r="DQ112" s="402"/>
      <c r="DR112" s="402"/>
      <c r="DS112" s="398"/>
      <c r="DT112" s="401"/>
      <c r="DU112" s="400"/>
      <c r="DV112" s="403"/>
      <c r="DW112" s="404"/>
      <c r="DX112" s="402"/>
      <c r="DY112" s="402"/>
      <c r="DZ112" s="402"/>
      <c r="EA112" s="402"/>
      <c r="EB112" s="407"/>
      <c r="EC112" s="433">
        <f>EC106-EC110</f>
        <v>0</v>
      </c>
      <c r="ED112" s="433">
        <f>ED106-ED110</f>
        <v>0</v>
      </c>
      <c r="EE112" s="433">
        <f>EE106-EE110</f>
        <v>0</v>
      </c>
      <c r="EF112" s="433">
        <f>EF106-EF110</f>
        <v>0</v>
      </c>
      <c r="EG112" s="153"/>
    </row>
    <row r="113" spans="1:137">
      <c r="A113" s="153"/>
      <c r="B113" s="224"/>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3"/>
      <c r="BF113" s="153"/>
      <c r="BG113" s="153"/>
      <c r="BH113" s="153"/>
      <c r="BI113" s="406"/>
      <c r="BJ113" s="153"/>
      <c r="BK113" s="396"/>
      <c r="BL113" s="396"/>
      <c r="BM113" s="397"/>
      <c r="BN113" s="397"/>
      <c r="BO113" s="396"/>
      <c r="BP113" s="396"/>
      <c r="BQ113" s="397"/>
      <c r="BR113" s="397"/>
      <c r="BS113" s="396"/>
      <c r="BT113" s="396"/>
      <c r="BU113" s="397"/>
      <c r="BV113" s="397"/>
      <c r="BW113" s="396"/>
      <c r="BX113" s="396"/>
      <c r="BY113" s="397"/>
      <c r="BZ113" s="398"/>
      <c r="CA113" s="399"/>
      <c r="CB113" s="400"/>
      <c r="CC113" s="397"/>
      <c r="CD113" s="398"/>
      <c r="CE113" s="399"/>
      <c r="CF113" s="399"/>
      <c r="CG113" s="399"/>
      <c r="CH113" s="401"/>
      <c r="CI113" s="397"/>
      <c r="CJ113" s="397"/>
      <c r="CK113" s="397"/>
      <c r="CL113" s="402"/>
      <c r="CM113" s="399"/>
      <c r="CN113" s="399"/>
      <c r="CO113" s="399"/>
      <c r="CP113" s="401"/>
      <c r="CQ113" s="397"/>
      <c r="CR113" s="397"/>
      <c r="CS113" s="397"/>
      <c r="CT113" s="402"/>
      <c r="CU113" s="399"/>
      <c r="CV113" s="399"/>
      <c r="CW113" s="399"/>
      <c r="CX113" s="401"/>
      <c r="CY113" s="402"/>
      <c r="CZ113" s="402"/>
      <c r="DA113" s="402"/>
      <c r="DB113" s="401"/>
      <c r="DC113" s="400"/>
      <c r="DD113" s="402"/>
      <c r="DE113" s="402"/>
      <c r="DF113" s="398"/>
      <c r="DG113" s="401"/>
      <c r="DH113" s="401"/>
      <c r="DI113" s="401"/>
      <c r="DJ113" s="402"/>
      <c r="DK113" s="402"/>
      <c r="DL113" s="402"/>
      <c r="DM113" s="398"/>
      <c r="DN113" s="401"/>
      <c r="DO113" s="401"/>
      <c r="DP113" s="400"/>
      <c r="DQ113" s="402"/>
      <c r="DR113" s="402"/>
      <c r="DS113" s="398"/>
      <c r="DT113" s="401"/>
      <c r="DU113" s="400"/>
      <c r="DV113" s="403"/>
      <c r="DW113" s="404"/>
      <c r="DX113" s="402"/>
      <c r="DY113" s="402"/>
      <c r="DZ113" s="402"/>
      <c r="EA113" s="402"/>
      <c r="EB113" s="407"/>
      <c r="EC113" s="153"/>
      <c r="ED113" s="153"/>
      <c r="EE113" s="153"/>
      <c r="EF113" s="153"/>
      <c r="EG113" s="153"/>
    </row>
  </sheetData>
  <sheetProtection algorithmName="SHA-512" hashValue="HWS8qMQKk+pAsFUU7rwghPTm22d1LaJgYLkEO+BKPWhCZ5d+cBS9VopnKCBijNcGdmjIVCYQKdwgMpjSQ7vwyA==" saltValue="At6gyk48dxPPcDUy8j4mOg==" spinCount="100000" sheet="1" objects="1" scenarios="1"/>
  <mergeCells count="25">
    <mergeCell ref="DV2:DW2"/>
    <mergeCell ref="DN2:DP2"/>
    <mergeCell ref="DQ2:DS2"/>
    <mergeCell ref="CU2:CX2"/>
    <mergeCell ref="DD2:DF2"/>
    <mergeCell ref="DJ2:DM2"/>
    <mergeCell ref="DG2:DI2"/>
    <mergeCell ref="CY2:DA2"/>
    <mergeCell ref="DB2:DC2"/>
    <mergeCell ref="DX2:EA2"/>
    <mergeCell ref="BK2:BL2"/>
    <mergeCell ref="BM2:BN2"/>
    <mergeCell ref="BO2:BP2"/>
    <mergeCell ref="BQ2:BR2"/>
    <mergeCell ref="BS2:BT2"/>
    <mergeCell ref="BU2:BV2"/>
    <mergeCell ref="BW2:BX2"/>
    <mergeCell ref="BY2:BZ2"/>
    <mergeCell ref="CE2:CH2"/>
    <mergeCell ref="CA2:CB2"/>
    <mergeCell ref="CC2:CD2"/>
    <mergeCell ref="DT2:DU2"/>
    <mergeCell ref="CI2:CL2"/>
    <mergeCell ref="CM2:CP2"/>
    <mergeCell ref="CQ2:CT2"/>
  </mergeCells>
  <phoneticPr fontId="4" type="noConversion"/>
  <pageMargins left="0.75" right="0.75" top="1" bottom="1" header="0.5" footer="0.5"/>
  <pageSetup paperSize="9" orientation="portrait" r:id="rId1"/>
  <headerFooter alignWithMargins="0"/>
  <ignoredErrors>
    <ignoredError sqref="BK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F8C5D-AA50-42A2-8411-D3CBF965131E}">
  <dimension ref="A1:CL91"/>
  <sheetViews>
    <sheetView showGridLines="0" workbookViewId="0">
      <pane xSplit="3" ySplit="3" topLeftCell="AW76" activePane="bottomRight" state="frozen"/>
      <selection pane="topRight" activeCell="D1" sqref="D1"/>
      <selection pane="bottomLeft" activeCell="A4" sqref="A4"/>
      <selection pane="bottomRight" activeCell="C65" sqref="C65"/>
    </sheetView>
  </sheetViews>
  <sheetFormatPr defaultRowHeight="15"/>
  <cols>
    <col min="1" max="3" width="13.7109375" style="43" customWidth="1"/>
    <col min="4" max="4" width="25.140625" style="43" customWidth="1"/>
    <col min="5" max="5" width="20.7109375" style="43" customWidth="1"/>
    <col min="6" max="27" width="13.7109375" style="43" customWidth="1"/>
    <col min="28" max="28" width="13.42578125" style="43" customWidth="1"/>
    <col min="29" max="36" width="13.7109375" style="43" customWidth="1"/>
    <col min="37" max="38" width="13.42578125" style="43" customWidth="1"/>
    <col min="39" max="39" width="13.5703125" style="43" customWidth="1"/>
    <col min="40" max="68" width="13.7109375" style="43" customWidth="1"/>
    <col min="69" max="69" width="13.42578125" style="43" customWidth="1"/>
    <col min="70" max="76" width="13.7109375" style="43" customWidth="1"/>
    <col min="77" max="77" width="17" style="43" customWidth="1"/>
    <col min="78" max="78" width="13.7109375" style="43" customWidth="1"/>
    <col min="79" max="80" width="6.85546875" style="43" customWidth="1"/>
    <col min="81" max="86" width="13.7109375" style="43" customWidth="1"/>
    <col min="87" max="87" width="13.5703125" style="43" customWidth="1"/>
    <col min="88" max="88" width="13.42578125" style="43" customWidth="1"/>
    <col min="89" max="89" width="10.140625" style="43" bestFit="1" customWidth="1"/>
    <col min="90" max="16384" width="9.140625" style="43"/>
  </cols>
  <sheetData>
    <row r="1" spans="1:90">
      <c r="B1" s="51">
        <v>1</v>
      </c>
      <c r="C1" s="51">
        <v>2</v>
      </c>
      <c r="D1" s="51">
        <v>3</v>
      </c>
      <c r="E1" s="51">
        <v>4</v>
      </c>
      <c r="F1" s="51">
        <v>5</v>
      </c>
      <c r="G1" s="51">
        <v>6</v>
      </c>
      <c r="H1" s="51">
        <v>7</v>
      </c>
      <c r="I1" s="51">
        <v>8</v>
      </c>
      <c r="J1" s="51">
        <v>9</v>
      </c>
      <c r="K1" s="51">
        <v>10</v>
      </c>
      <c r="L1" s="51">
        <v>11</v>
      </c>
      <c r="M1" s="51">
        <v>12</v>
      </c>
      <c r="N1" s="51">
        <v>13</v>
      </c>
      <c r="O1" s="51">
        <v>14</v>
      </c>
      <c r="P1" s="51">
        <v>15</v>
      </c>
      <c r="Q1" s="51">
        <v>16</v>
      </c>
      <c r="R1" s="51">
        <v>17</v>
      </c>
      <c r="S1" s="51">
        <v>18</v>
      </c>
      <c r="T1" s="51">
        <v>19</v>
      </c>
      <c r="U1" s="51">
        <v>20</v>
      </c>
      <c r="V1" s="51">
        <v>21</v>
      </c>
      <c r="W1" s="51">
        <v>22</v>
      </c>
      <c r="X1" s="51">
        <v>23</v>
      </c>
      <c r="Y1" s="51">
        <v>24</v>
      </c>
      <c r="Z1" s="51">
        <v>25</v>
      </c>
      <c r="AA1" s="51">
        <v>26</v>
      </c>
      <c r="AB1" s="51">
        <v>27</v>
      </c>
      <c r="AC1" s="51">
        <v>28</v>
      </c>
      <c r="AD1" s="51">
        <v>29</v>
      </c>
      <c r="AE1" s="51">
        <v>30</v>
      </c>
      <c r="AF1" s="51">
        <v>31</v>
      </c>
      <c r="AG1" s="51">
        <v>32</v>
      </c>
      <c r="AH1" s="51">
        <v>33</v>
      </c>
      <c r="AI1" s="51">
        <v>34</v>
      </c>
      <c r="AJ1" s="51">
        <v>35</v>
      </c>
      <c r="AK1" s="51">
        <v>36</v>
      </c>
      <c r="AL1" s="51">
        <v>37</v>
      </c>
      <c r="AM1" s="51">
        <v>38</v>
      </c>
      <c r="AN1" s="51">
        <v>39</v>
      </c>
      <c r="AO1" s="51">
        <v>40</v>
      </c>
      <c r="AP1" s="51">
        <v>41</v>
      </c>
      <c r="AQ1" s="51">
        <v>42</v>
      </c>
      <c r="AR1" s="51">
        <v>43</v>
      </c>
      <c r="AS1" s="51">
        <v>44</v>
      </c>
      <c r="AT1" s="51">
        <v>45</v>
      </c>
      <c r="AU1" s="51">
        <v>46</v>
      </c>
      <c r="AV1" s="51">
        <v>47</v>
      </c>
      <c r="AW1" s="51">
        <v>48</v>
      </c>
      <c r="AX1" s="51">
        <v>49</v>
      </c>
      <c r="AY1" s="51">
        <v>50</v>
      </c>
      <c r="AZ1" s="51">
        <v>51</v>
      </c>
      <c r="BA1" s="51">
        <v>52</v>
      </c>
      <c r="BB1" s="51">
        <v>53</v>
      </c>
      <c r="BC1" s="51">
        <v>54</v>
      </c>
      <c r="BD1" s="51">
        <v>55</v>
      </c>
      <c r="BE1" s="51">
        <v>56</v>
      </c>
      <c r="BF1" s="51">
        <v>57</v>
      </c>
      <c r="BG1" s="51">
        <v>58</v>
      </c>
      <c r="BH1" s="51">
        <v>59</v>
      </c>
      <c r="BI1" s="51">
        <v>60</v>
      </c>
      <c r="BJ1" s="51">
        <v>61</v>
      </c>
      <c r="BK1" s="51">
        <v>62</v>
      </c>
      <c r="BL1" s="51">
        <v>63</v>
      </c>
      <c r="BM1" s="51">
        <v>64</v>
      </c>
      <c r="BN1" s="51">
        <v>65</v>
      </c>
      <c r="BO1" s="51">
        <v>66</v>
      </c>
      <c r="BP1" s="51">
        <v>67</v>
      </c>
      <c r="BQ1" s="51">
        <v>68</v>
      </c>
      <c r="BR1" s="51">
        <v>69</v>
      </c>
      <c r="BS1" s="51">
        <v>70</v>
      </c>
      <c r="BT1" s="51">
        <v>71</v>
      </c>
      <c r="BU1" s="51">
        <v>72</v>
      </c>
      <c r="BV1" s="51">
        <v>73</v>
      </c>
      <c r="BW1" s="51">
        <v>74</v>
      </c>
      <c r="BX1" s="51">
        <v>75</v>
      </c>
      <c r="BY1" s="51">
        <v>76</v>
      </c>
      <c r="BZ1" s="51">
        <v>77</v>
      </c>
      <c r="CA1" s="51">
        <v>78</v>
      </c>
      <c r="CB1" s="51">
        <v>79</v>
      </c>
      <c r="CC1" s="51">
        <v>80</v>
      </c>
      <c r="CD1" s="51">
        <v>81</v>
      </c>
      <c r="CE1" s="51">
        <v>82</v>
      </c>
      <c r="CF1" s="51">
        <v>83</v>
      </c>
      <c r="CG1" s="51">
        <v>84</v>
      </c>
      <c r="CH1" s="51">
        <v>85</v>
      </c>
      <c r="CI1" s="51">
        <v>86</v>
      </c>
      <c r="CJ1" s="51">
        <v>87</v>
      </c>
      <c r="CK1" s="51">
        <v>88</v>
      </c>
      <c r="CL1" s="51">
        <v>89</v>
      </c>
    </row>
    <row r="2" spans="1:90" ht="25.9" customHeight="1">
      <c r="A2" s="455" t="s">
        <v>402</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c r="BJ2" s="456"/>
      <c r="BK2" s="456"/>
      <c r="BL2" s="456"/>
      <c r="BM2" s="456"/>
      <c r="BN2" s="456"/>
      <c r="BO2" s="456"/>
      <c r="BP2" s="456"/>
      <c r="BQ2" s="456"/>
      <c r="BR2" s="456"/>
      <c r="BS2" s="456"/>
      <c r="BT2" s="456"/>
      <c r="BU2" s="456"/>
      <c r="BV2" s="456"/>
      <c r="BW2" s="456"/>
      <c r="BX2" s="456"/>
      <c r="BY2" s="456"/>
      <c r="BZ2" s="456"/>
      <c r="CA2" s="456"/>
    </row>
    <row r="3" spans="1:90" ht="45">
      <c r="A3" s="44" t="s">
        <v>403</v>
      </c>
      <c r="B3" s="44" t="s">
        <v>404</v>
      </c>
      <c r="C3" s="45" t="s">
        <v>121</v>
      </c>
      <c r="D3" s="45" t="s">
        <v>405</v>
      </c>
      <c r="E3" s="45" t="s">
        <v>406</v>
      </c>
      <c r="F3" s="45" t="s">
        <v>407</v>
      </c>
      <c r="G3" s="44" t="s">
        <v>408</v>
      </c>
      <c r="H3" s="44" t="s">
        <v>409</v>
      </c>
      <c r="I3" s="45" t="s">
        <v>410</v>
      </c>
      <c r="J3" s="45" t="s">
        <v>411</v>
      </c>
      <c r="K3" s="45" t="s">
        <v>412</v>
      </c>
      <c r="L3" s="45" t="s">
        <v>413</v>
      </c>
      <c r="M3" s="45" t="s">
        <v>414</v>
      </c>
      <c r="N3" s="45" t="s">
        <v>415</v>
      </c>
      <c r="O3" s="45" t="s">
        <v>416</v>
      </c>
      <c r="P3" s="45" t="s">
        <v>417</v>
      </c>
      <c r="Q3" s="44" t="s">
        <v>291</v>
      </c>
      <c r="R3" s="44" t="s">
        <v>292</v>
      </c>
      <c r="S3" s="44" t="s">
        <v>293</v>
      </c>
      <c r="T3" s="44" t="s">
        <v>193</v>
      </c>
      <c r="U3" s="44" t="s">
        <v>194</v>
      </c>
      <c r="V3" s="44" t="s">
        <v>195</v>
      </c>
      <c r="W3" s="44" t="s">
        <v>196</v>
      </c>
      <c r="X3" s="44" t="s">
        <v>197</v>
      </c>
      <c r="Y3" s="44" t="s">
        <v>198</v>
      </c>
      <c r="Z3" s="44" t="s">
        <v>199</v>
      </c>
      <c r="AA3" s="44" t="s">
        <v>418</v>
      </c>
      <c r="AB3" s="44" t="s">
        <v>419</v>
      </c>
      <c r="AC3" s="44" t="s">
        <v>201</v>
      </c>
      <c r="AD3" s="44" t="s">
        <v>202</v>
      </c>
      <c r="AE3" s="44" t="s">
        <v>203</v>
      </c>
      <c r="AF3" s="44" t="s">
        <v>204</v>
      </c>
      <c r="AG3" s="44" t="s">
        <v>205</v>
      </c>
      <c r="AH3" s="44" t="s">
        <v>206</v>
      </c>
      <c r="AI3" s="44" t="s">
        <v>207</v>
      </c>
      <c r="AJ3" s="44" t="s">
        <v>208</v>
      </c>
      <c r="AK3" s="44" t="s">
        <v>396</v>
      </c>
      <c r="AL3" s="44" t="s">
        <v>397</v>
      </c>
      <c r="AM3" s="44" t="s">
        <v>398</v>
      </c>
      <c r="AN3" s="44" t="s">
        <v>399</v>
      </c>
      <c r="AO3" s="44" t="s">
        <v>209</v>
      </c>
      <c r="AP3" s="44" t="s">
        <v>210</v>
      </c>
      <c r="AQ3" s="44" t="s">
        <v>211</v>
      </c>
      <c r="AR3" s="44" t="s">
        <v>212</v>
      </c>
      <c r="AS3" s="44" t="s">
        <v>213</v>
      </c>
      <c r="AT3" s="44" t="s">
        <v>214</v>
      </c>
      <c r="AU3" s="44" t="s">
        <v>215</v>
      </c>
      <c r="AV3" s="44" t="s">
        <v>216</v>
      </c>
      <c r="AW3" s="44" t="s">
        <v>217</v>
      </c>
      <c r="AX3" s="44" t="s">
        <v>218</v>
      </c>
      <c r="AY3" s="44" t="s">
        <v>219</v>
      </c>
      <c r="AZ3" s="44" t="s">
        <v>220</v>
      </c>
      <c r="BA3" s="44" t="s">
        <v>221</v>
      </c>
      <c r="BB3" s="44" t="s">
        <v>222</v>
      </c>
      <c r="BC3" s="44" t="s">
        <v>223</v>
      </c>
      <c r="BD3" s="44" t="s">
        <v>224</v>
      </c>
      <c r="BE3" s="44" t="s">
        <v>225</v>
      </c>
      <c r="BF3" s="44" t="s">
        <v>226</v>
      </c>
      <c r="BG3" s="44" t="s">
        <v>227</v>
      </c>
      <c r="BH3" s="44" t="s">
        <v>228</v>
      </c>
      <c r="BI3" s="44" t="s">
        <v>229</v>
      </c>
      <c r="BJ3" s="44" t="s">
        <v>230</v>
      </c>
      <c r="BK3" s="44" t="s">
        <v>231</v>
      </c>
      <c r="BL3" s="44" t="s">
        <v>232</v>
      </c>
      <c r="BM3" s="44" t="s">
        <v>233</v>
      </c>
      <c r="BN3" s="44" t="s">
        <v>234</v>
      </c>
      <c r="BO3" s="44" t="s">
        <v>235</v>
      </c>
      <c r="BP3" s="44" t="s">
        <v>420</v>
      </c>
      <c r="BQ3" s="44" t="s">
        <v>421</v>
      </c>
      <c r="BR3" s="44" t="s">
        <v>237</v>
      </c>
      <c r="BS3" s="44" t="s">
        <v>238</v>
      </c>
      <c r="BT3" s="44" t="s">
        <v>239</v>
      </c>
      <c r="BU3" s="44" t="s">
        <v>240</v>
      </c>
      <c r="BV3" s="44" t="s">
        <v>294</v>
      </c>
      <c r="BW3" s="44" t="s">
        <v>295</v>
      </c>
      <c r="BX3" s="44" t="s">
        <v>422</v>
      </c>
      <c r="BY3" s="44" t="s">
        <v>423</v>
      </c>
      <c r="BZ3" s="44" t="s">
        <v>297</v>
      </c>
      <c r="CA3" s="457" t="s">
        <v>298</v>
      </c>
      <c r="CB3" s="454"/>
      <c r="CC3" s="44" t="s">
        <v>299</v>
      </c>
      <c r="CD3" s="44" t="s">
        <v>300</v>
      </c>
      <c r="CE3" s="44" t="s">
        <v>424</v>
      </c>
      <c r="CF3" s="44" t="s">
        <v>425</v>
      </c>
      <c r="CG3" s="44" t="s">
        <v>426</v>
      </c>
      <c r="CH3" s="44" t="s">
        <v>427</v>
      </c>
      <c r="CI3" s="44" t="s">
        <v>428</v>
      </c>
      <c r="CJ3" s="46" t="s">
        <v>429</v>
      </c>
      <c r="CK3" s="47" t="s">
        <v>430</v>
      </c>
      <c r="CL3" s="47" t="s">
        <v>431</v>
      </c>
    </row>
    <row r="4" spans="1:90">
      <c r="A4" s="48">
        <v>302</v>
      </c>
      <c r="B4" s="48">
        <v>1000</v>
      </c>
      <c r="C4" s="48" t="s">
        <v>432</v>
      </c>
      <c r="D4" s="48" t="s">
        <v>433</v>
      </c>
      <c r="E4" s="48" t="s">
        <v>434</v>
      </c>
      <c r="F4" s="48" t="s">
        <v>435</v>
      </c>
      <c r="G4" s="48">
        <v>0</v>
      </c>
      <c r="H4" s="48">
        <v>2</v>
      </c>
      <c r="I4" s="48" t="s">
        <v>436</v>
      </c>
      <c r="J4" s="48" t="s">
        <v>437</v>
      </c>
      <c r="K4" s="48" t="s">
        <v>438</v>
      </c>
      <c r="L4" s="48" t="s">
        <v>439</v>
      </c>
      <c r="M4" s="48" t="s">
        <v>438</v>
      </c>
      <c r="N4" s="48" t="s">
        <v>440</v>
      </c>
      <c r="O4" s="48" t="s">
        <v>181</v>
      </c>
      <c r="P4" s="48" t="s">
        <v>181</v>
      </c>
      <c r="Q4" s="48">
        <v>-28166.18</v>
      </c>
      <c r="R4" s="48">
        <v>55694.99</v>
      </c>
      <c r="S4" s="48">
        <v>64091.23</v>
      </c>
      <c r="T4" s="48">
        <v>1123918.44</v>
      </c>
      <c r="U4" s="48">
        <v>0</v>
      </c>
      <c r="V4" s="48">
        <v>46448.01</v>
      </c>
      <c r="W4" s="48">
        <v>0</v>
      </c>
      <c r="X4" s="48">
        <v>0</v>
      </c>
      <c r="Y4" s="48">
        <v>136044</v>
      </c>
      <c r="Z4" s="48">
        <v>68467.56</v>
      </c>
      <c r="AA4" s="48">
        <v>21240</v>
      </c>
      <c r="AB4" s="48">
        <v>729752.52</v>
      </c>
      <c r="AC4" s="48">
        <v>12978.19</v>
      </c>
      <c r="AD4" s="48">
        <v>0</v>
      </c>
      <c r="AE4" s="48">
        <v>0</v>
      </c>
      <c r="AF4" s="48">
        <v>0</v>
      </c>
      <c r="AG4" s="48">
        <v>12839.14</v>
      </c>
      <c r="AH4" s="48">
        <v>0</v>
      </c>
      <c r="AI4" s="48">
        <v>149294.01</v>
      </c>
      <c r="AJ4" s="48">
        <v>1036.94</v>
      </c>
      <c r="AK4" s="48">
        <v>0</v>
      </c>
      <c r="AL4" s="48">
        <v>0</v>
      </c>
      <c r="AM4" s="48">
        <v>0</v>
      </c>
      <c r="AN4" s="48">
        <v>0</v>
      </c>
      <c r="AO4" s="48">
        <v>424669.11</v>
      </c>
      <c r="AP4" s="48">
        <v>0</v>
      </c>
      <c r="AQ4" s="48">
        <v>1314308.6200000001</v>
      </c>
      <c r="AR4" s="48">
        <v>50841.75</v>
      </c>
      <c r="AS4" s="48">
        <v>85635.37</v>
      </c>
      <c r="AT4" s="48">
        <v>0</v>
      </c>
      <c r="AU4" s="48">
        <v>71309.36</v>
      </c>
      <c r="AV4" s="48">
        <v>7601.75</v>
      </c>
      <c r="AW4" s="48">
        <v>906.93</v>
      </c>
      <c r="AX4" s="48">
        <v>0</v>
      </c>
      <c r="AY4" s="48">
        <v>0</v>
      </c>
      <c r="AZ4" s="48">
        <v>16351.86</v>
      </c>
      <c r="BA4" s="48">
        <v>5236.04</v>
      </c>
      <c r="BB4" s="48">
        <v>6432.69</v>
      </c>
      <c r="BC4" s="48">
        <v>2573.94</v>
      </c>
      <c r="BD4" s="48">
        <v>19635.7</v>
      </c>
      <c r="BE4" s="48">
        <v>6603.93</v>
      </c>
      <c r="BF4" s="48">
        <v>15445.24</v>
      </c>
      <c r="BG4" s="48">
        <v>38536.230000000003</v>
      </c>
      <c r="BH4" s="48">
        <v>16953.439999999999</v>
      </c>
      <c r="BI4" s="48">
        <v>0</v>
      </c>
      <c r="BJ4" s="48">
        <v>28034.13</v>
      </c>
      <c r="BK4" s="48">
        <v>7429</v>
      </c>
      <c r="BL4" s="48">
        <v>1682.11</v>
      </c>
      <c r="BM4" s="48">
        <v>12612.5</v>
      </c>
      <c r="BN4" s="48">
        <v>0</v>
      </c>
      <c r="BO4" s="48">
        <v>16903</v>
      </c>
      <c r="BP4" s="48">
        <v>43779</v>
      </c>
      <c r="BQ4" s="48">
        <v>0</v>
      </c>
      <c r="BR4" s="48">
        <v>0</v>
      </c>
      <c r="BS4" s="48">
        <v>0</v>
      </c>
      <c r="BT4" s="48">
        <v>173176.22</v>
      </c>
      <c r="BU4" s="48">
        <v>29212.51</v>
      </c>
      <c r="BV4" s="48">
        <v>15261</v>
      </c>
      <c r="BW4" s="48">
        <v>0</v>
      </c>
      <c r="BX4" s="48">
        <v>0</v>
      </c>
      <c r="BY4" s="48">
        <v>1</v>
      </c>
      <c r="BZ4" s="48">
        <v>0</v>
      </c>
      <c r="CA4" s="453">
        <v>19882.43</v>
      </c>
      <c r="CB4" s="454"/>
      <c r="CC4" s="48">
        <v>0</v>
      </c>
      <c r="CD4" s="48">
        <v>0</v>
      </c>
      <c r="CE4" s="48">
        <v>0</v>
      </c>
      <c r="CF4" s="48">
        <v>-69960</v>
      </c>
      <c r="CG4" s="48">
        <v>30426</v>
      </c>
      <c r="CH4" s="48">
        <v>29044</v>
      </c>
      <c r="CI4" s="48">
        <v>3637</v>
      </c>
      <c r="CJ4" s="49">
        <v>0</v>
      </c>
      <c r="CK4" s="50">
        <f>CE4+CF4+CI4</f>
        <v>-66323</v>
      </c>
      <c r="CL4" s="50">
        <f>CG4+CH4</f>
        <v>59470</v>
      </c>
    </row>
    <row r="5" spans="1:90" ht="25.5">
      <c r="A5" s="48">
        <v>302</v>
      </c>
      <c r="B5" s="48">
        <v>1002</v>
      </c>
      <c r="C5" s="48" t="s">
        <v>29</v>
      </c>
      <c r="D5" s="48" t="s">
        <v>441</v>
      </c>
      <c r="E5" s="48"/>
      <c r="F5" s="48" t="s">
        <v>435</v>
      </c>
      <c r="G5" s="48">
        <v>0</v>
      </c>
      <c r="H5" s="48">
        <v>2</v>
      </c>
      <c r="I5" s="48" t="s">
        <v>436</v>
      </c>
      <c r="J5" s="48" t="s">
        <v>437</v>
      </c>
      <c r="K5" s="48" t="s">
        <v>438</v>
      </c>
      <c r="L5" s="48" t="s">
        <v>439</v>
      </c>
      <c r="M5" s="48" t="s">
        <v>438</v>
      </c>
      <c r="N5" s="48" t="s">
        <v>440</v>
      </c>
      <c r="O5" s="48" t="s">
        <v>181</v>
      </c>
      <c r="P5" s="48" t="s">
        <v>181</v>
      </c>
      <c r="Q5" s="48">
        <v>-20659.71</v>
      </c>
      <c r="R5" s="48">
        <v>0</v>
      </c>
      <c r="S5" s="48">
        <v>21843</v>
      </c>
      <c r="T5" s="48">
        <v>439322.45</v>
      </c>
      <c r="U5" s="48">
        <v>0</v>
      </c>
      <c r="V5" s="48">
        <v>32357.71</v>
      </c>
      <c r="W5" s="48">
        <v>0</v>
      </c>
      <c r="X5" s="48">
        <v>0</v>
      </c>
      <c r="Y5" s="48">
        <v>0</v>
      </c>
      <c r="Z5" s="48">
        <v>27617.58</v>
      </c>
      <c r="AA5" s="48">
        <v>0</v>
      </c>
      <c r="AB5" s="48">
        <v>163090.85</v>
      </c>
      <c r="AC5" s="48">
        <v>12929.16</v>
      </c>
      <c r="AD5" s="48">
        <v>0</v>
      </c>
      <c r="AE5" s="48">
        <v>0</v>
      </c>
      <c r="AF5" s="48">
        <v>627.20000000000005</v>
      </c>
      <c r="AG5" s="48">
        <v>17448.16</v>
      </c>
      <c r="AH5" s="48">
        <v>0</v>
      </c>
      <c r="AI5" s="48">
        <v>0</v>
      </c>
      <c r="AJ5" s="48">
        <v>0</v>
      </c>
      <c r="AK5" s="48">
        <v>899.34</v>
      </c>
      <c r="AL5" s="48">
        <v>0</v>
      </c>
      <c r="AM5" s="48">
        <v>0</v>
      </c>
      <c r="AN5" s="48">
        <v>0</v>
      </c>
      <c r="AO5" s="48">
        <v>234537.87</v>
      </c>
      <c r="AP5" s="48">
        <v>0</v>
      </c>
      <c r="AQ5" s="48">
        <v>253042.26</v>
      </c>
      <c r="AR5" s="48">
        <v>35010.9</v>
      </c>
      <c r="AS5" s="48">
        <v>69581.84</v>
      </c>
      <c r="AT5" s="48">
        <v>0</v>
      </c>
      <c r="AU5" s="48">
        <v>50457.43</v>
      </c>
      <c r="AV5" s="48">
        <v>14966.26</v>
      </c>
      <c r="AW5" s="48">
        <v>6146.06</v>
      </c>
      <c r="AX5" s="48">
        <v>0</v>
      </c>
      <c r="AY5" s="48">
        <v>0</v>
      </c>
      <c r="AZ5" s="48">
        <v>1833.48</v>
      </c>
      <c r="BA5" s="48">
        <v>888.25</v>
      </c>
      <c r="BB5" s="48">
        <v>2503.02</v>
      </c>
      <c r="BC5" s="48">
        <v>1383.62</v>
      </c>
      <c r="BD5" s="48">
        <v>6891.15</v>
      </c>
      <c r="BE5" s="48">
        <v>1846.74</v>
      </c>
      <c r="BF5" s="48">
        <v>4312.99</v>
      </c>
      <c r="BG5" s="48">
        <v>8023.86</v>
      </c>
      <c r="BH5" s="48">
        <v>3624.72</v>
      </c>
      <c r="BI5" s="48">
        <v>0</v>
      </c>
      <c r="BJ5" s="48">
        <v>7167.38</v>
      </c>
      <c r="BK5" s="48">
        <v>1710</v>
      </c>
      <c r="BL5" s="48">
        <v>2010.33</v>
      </c>
      <c r="BM5" s="48">
        <v>12929.16</v>
      </c>
      <c r="BN5" s="48">
        <v>22858.83</v>
      </c>
      <c r="BO5" s="48">
        <v>38047.82</v>
      </c>
      <c r="BP5" s="48">
        <v>8059.5</v>
      </c>
      <c r="BQ5" s="48">
        <v>0</v>
      </c>
      <c r="BR5" s="48">
        <v>0</v>
      </c>
      <c r="BS5" s="48">
        <v>0</v>
      </c>
      <c r="BT5" s="48">
        <v>0</v>
      </c>
      <c r="BU5" s="48">
        <v>0</v>
      </c>
      <c r="BV5" s="48">
        <v>4945</v>
      </c>
      <c r="BW5" s="48">
        <v>0</v>
      </c>
      <c r="BX5" s="48">
        <v>0</v>
      </c>
      <c r="BY5" s="48">
        <v>1</v>
      </c>
      <c r="BZ5" s="48">
        <v>0</v>
      </c>
      <c r="CA5" s="453">
        <v>15526.93</v>
      </c>
      <c r="CB5" s="454"/>
      <c r="CC5" s="48">
        <v>0</v>
      </c>
      <c r="CD5" s="48">
        <v>0</v>
      </c>
      <c r="CE5" s="48">
        <v>0</v>
      </c>
      <c r="CF5" s="48">
        <v>-114200</v>
      </c>
      <c r="CG5" s="48">
        <v>11261</v>
      </c>
      <c r="CH5" s="48">
        <v>0</v>
      </c>
      <c r="CI5" s="48">
        <v>0</v>
      </c>
      <c r="CJ5" s="49">
        <v>0</v>
      </c>
      <c r="CK5" s="50">
        <f t="shared" ref="CK5:CK68" si="0">CE5+CF5+CI5</f>
        <v>-114200</v>
      </c>
      <c r="CL5" s="50">
        <f t="shared" ref="CL5:CL68" si="1">CG5+CH5</f>
        <v>11261</v>
      </c>
    </row>
    <row r="6" spans="1:90" ht="25.5">
      <c r="A6" s="48">
        <v>302</v>
      </c>
      <c r="B6" s="48">
        <v>1100</v>
      </c>
      <c r="C6" s="48" t="s">
        <v>442</v>
      </c>
      <c r="D6" s="48" t="s">
        <v>441</v>
      </c>
      <c r="E6" s="48"/>
      <c r="F6" s="48" t="s">
        <v>435</v>
      </c>
      <c r="G6" s="48">
        <v>0</v>
      </c>
      <c r="H6" s="48">
        <v>0</v>
      </c>
      <c r="I6" s="48" t="s">
        <v>436</v>
      </c>
      <c r="J6" s="48" t="s">
        <v>437</v>
      </c>
      <c r="K6" s="48" t="s">
        <v>438</v>
      </c>
      <c r="L6" s="48" t="s">
        <v>439</v>
      </c>
      <c r="M6" s="48" t="s">
        <v>438</v>
      </c>
      <c r="N6" s="48" t="s">
        <v>440</v>
      </c>
      <c r="O6" s="48" t="s">
        <v>181</v>
      </c>
      <c r="P6" s="48" t="s">
        <v>181</v>
      </c>
      <c r="Q6" s="48">
        <v>291425.51</v>
      </c>
      <c r="R6" s="48">
        <v>0</v>
      </c>
      <c r="S6" s="48">
        <v>39211.75</v>
      </c>
      <c r="T6" s="48">
        <v>1700136.64</v>
      </c>
      <c r="U6" s="48">
        <v>0</v>
      </c>
      <c r="V6" s="48">
        <v>1080223.2</v>
      </c>
      <c r="W6" s="48">
        <v>0</v>
      </c>
      <c r="X6" s="48">
        <v>30057.39</v>
      </c>
      <c r="Y6" s="48">
        <v>0</v>
      </c>
      <c r="Z6" s="48">
        <v>57172.53</v>
      </c>
      <c r="AA6" s="48">
        <v>0</v>
      </c>
      <c r="AB6" s="48">
        <v>168086.79</v>
      </c>
      <c r="AC6" s="48">
        <v>0</v>
      </c>
      <c r="AD6" s="48">
        <v>22373.919999999998</v>
      </c>
      <c r="AE6" s="48">
        <v>0</v>
      </c>
      <c r="AF6" s="48">
        <v>0</v>
      </c>
      <c r="AG6" s="48">
        <v>0</v>
      </c>
      <c r="AH6" s="48">
        <v>0</v>
      </c>
      <c r="AI6" s="48">
        <v>0</v>
      </c>
      <c r="AJ6" s="48">
        <v>0</v>
      </c>
      <c r="AK6" s="48">
        <v>0</v>
      </c>
      <c r="AL6" s="48">
        <v>0</v>
      </c>
      <c r="AM6" s="48">
        <v>0</v>
      </c>
      <c r="AN6" s="48">
        <v>63642.09</v>
      </c>
      <c r="AO6" s="48">
        <v>1593532.5</v>
      </c>
      <c r="AP6" s="48">
        <v>202269.9</v>
      </c>
      <c r="AQ6" s="48">
        <v>311728.51</v>
      </c>
      <c r="AR6" s="48">
        <v>32179.279999999999</v>
      </c>
      <c r="AS6" s="48">
        <v>62335.32</v>
      </c>
      <c r="AT6" s="48">
        <v>0</v>
      </c>
      <c r="AU6" s="48">
        <v>0</v>
      </c>
      <c r="AV6" s="48">
        <v>12673.88</v>
      </c>
      <c r="AW6" s="48">
        <v>12280.03</v>
      </c>
      <c r="AX6" s="48">
        <v>27209.03</v>
      </c>
      <c r="AY6" s="48">
        <v>1482</v>
      </c>
      <c r="AZ6" s="48">
        <v>3589.66</v>
      </c>
      <c r="BA6" s="48">
        <v>3928.08</v>
      </c>
      <c r="BB6" s="48">
        <v>23196.86</v>
      </c>
      <c r="BC6" s="48">
        <v>1089.33</v>
      </c>
      <c r="BD6" s="48">
        <v>17953.689999999999</v>
      </c>
      <c r="BE6" s="48">
        <v>2697.06</v>
      </c>
      <c r="BF6" s="48">
        <v>10932.41</v>
      </c>
      <c r="BG6" s="48">
        <v>43869.07</v>
      </c>
      <c r="BH6" s="48">
        <v>27039.9</v>
      </c>
      <c r="BI6" s="48">
        <v>5604.2</v>
      </c>
      <c r="BJ6" s="48">
        <v>16426.63</v>
      </c>
      <c r="BK6" s="48">
        <v>3782</v>
      </c>
      <c r="BL6" s="48">
        <v>34412.769999999997</v>
      </c>
      <c r="BM6" s="48">
        <v>33068.39</v>
      </c>
      <c r="BN6" s="48">
        <v>146696.25</v>
      </c>
      <c r="BO6" s="48">
        <v>182090.05</v>
      </c>
      <c r="BP6" s="48">
        <v>48383.45</v>
      </c>
      <c r="BQ6" s="48">
        <v>0</v>
      </c>
      <c r="BR6" s="48">
        <v>0</v>
      </c>
      <c r="BS6" s="48">
        <v>0</v>
      </c>
      <c r="BT6" s="48">
        <v>0</v>
      </c>
      <c r="BU6" s="48">
        <v>0</v>
      </c>
      <c r="BV6" s="48">
        <v>8506</v>
      </c>
      <c r="BW6" s="48">
        <v>0</v>
      </c>
      <c r="BX6" s="48">
        <v>0</v>
      </c>
      <c r="BY6" s="48">
        <v>1</v>
      </c>
      <c r="BZ6" s="48">
        <v>0</v>
      </c>
      <c r="CA6" s="453">
        <v>0</v>
      </c>
      <c r="CB6" s="454"/>
      <c r="CC6" s="48">
        <v>0</v>
      </c>
      <c r="CD6" s="48">
        <v>0</v>
      </c>
      <c r="CE6" s="48">
        <v>50000</v>
      </c>
      <c r="CF6" s="48">
        <v>502668</v>
      </c>
      <c r="CG6" s="48">
        <v>47718</v>
      </c>
      <c r="CH6" s="48">
        <v>0</v>
      </c>
      <c r="CI6" s="48">
        <v>0</v>
      </c>
      <c r="CJ6" s="49">
        <v>0</v>
      </c>
      <c r="CK6" s="50">
        <f t="shared" si="0"/>
        <v>552668</v>
      </c>
      <c r="CL6" s="50">
        <f t="shared" si="1"/>
        <v>47718</v>
      </c>
    </row>
    <row r="7" spans="1:90">
      <c r="A7" s="48">
        <v>302</v>
      </c>
      <c r="B7" s="48">
        <v>1102</v>
      </c>
      <c r="C7" s="48" t="s">
        <v>443</v>
      </c>
      <c r="D7" s="48" t="s">
        <v>441</v>
      </c>
      <c r="E7" s="48"/>
      <c r="F7" s="48" t="s">
        <v>435</v>
      </c>
      <c r="G7" s="48">
        <v>0</v>
      </c>
      <c r="H7" s="48">
        <v>0</v>
      </c>
      <c r="I7" s="48" t="s">
        <v>436</v>
      </c>
      <c r="J7" s="48" t="s">
        <v>437</v>
      </c>
      <c r="K7" s="48" t="s">
        <v>438</v>
      </c>
      <c r="L7" s="48" t="s">
        <v>439</v>
      </c>
      <c r="M7" s="48" t="s">
        <v>438</v>
      </c>
      <c r="N7" s="48" t="s">
        <v>440</v>
      </c>
      <c r="O7" s="48" t="s">
        <v>181</v>
      </c>
      <c r="P7" s="48" t="s">
        <v>181</v>
      </c>
      <c r="Q7" s="48">
        <v>178749.21</v>
      </c>
      <c r="R7" s="48">
        <v>0</v>
      </c>
      <c r="S7" s="48">
        <v>1178.42</v>
      </c>
      <c r="T7" s="48">
        <v>486423.46</v>
      </c>
      <c r="U7" s="48">
        <v>0</v>
      </c>
      <c r="V7" s="48">
        <v>0</v>
      </c>
      <c r="W7" s="48">
        <v>0</v>
      </c>
      <c r="X7" s="48">
        <v>6620.31</v>
      </c>
      <c r="Y7" s="48">
        <v>0</v>
      </c>
      <c r="Z7" s="48">
        <v>3897.64</v>
      </c>
      <c r="AA7" s="48">
        <v>0</v>
      </c>
      <c r="AB7" s="48">
        <v>97771.33</v>
      </c>
      <c r="AC7" s="48">
        <v>0</v>
      </c>
      <c r="AD7" s="48">
        <v>0</v>
      </c>
      <c r="AE7" s="48">
        <v>1326</v>
      </c>
      <c r="AF7" s="48">
        <v>0</v>
      </c>
      <c r="AG7" s="48">
        <v>0</v>
      </c>
      <c r="AH7" s="48">
        <v>0</v>
      </c>
      <c r="AI7" s="48">
        <v>0</v>
      </c>
      <c r="AJ7" s="48">
        <v>0</v>
      </c>
      <c r="AK7" s="48">
        <v>0</v>
      </c>
      <c r="AL7" s="48">
        <v>31207.75</v>
      </c>
      <c r="AM7" s="48">
        <v>6451.88</v>
      </c>
      <c r="AN7" s="48">
        <v>0</v>
      </c>
      <c r="AO7" s="48">
        <v>446778.13</v>
      </c>
      <c r="AP7" s="48">
        <v>0</v>
      </c>
      <c r="AQ7" s="48">
        <v>24920.54</v>
      </c>
      <c r="AR7" s="48">
        <v>0</v>
      </c>
      <c r="AS7" s="48">
        <v>36519.93</v>
      </c>
      <c r="AT7" s="48">
        <v>0</v>
      </c>
      <c r="AU7" s="48">
        <v>656.22</v>
      </c>
      <c r="AV7" s="48">
        <v>5032.92</v>
      </c>
      <c r="AW7" s="48">
        <v>3331.37</v>
      </c>
      <c r="AX7" s="48">
        <v>4834.32</v>
      </c>
      <c r="AY7" s="48">
        <v>0</v>
      </c>
      <c r="AZ7" s="48">
        <v>8717.6200000000008</v>
      </c>
      <c r="BA7" s="48">
        <v>0</v>
      </c>
      <c r="BB7" s="48">
        <v>107.47</v>
      </c>
      <c r="BC7" s="48">
        <v>0</v>
      </c>
      <c r="BD7" s="48">
        <v>0</v>
      </c>
      <c r="BE7" s="48">
        <v>0</v>
      </c>
      <c r="BF7" s="48">
        <v>1129.7</v>
      </c>
      <c r="BG7" s="48">
        <v>13370.36</v>
      </c>
      <c r="BH7" s="48">
        <v>6469.7</v>
      </c>
      <c r="BI7" s="48">
        <v>5173.93</v>
      </c>
      <c r="BJ7" s="48">
        <v>13719.66</v>
      </c>
      <c r="BK7" s="48">
        <v>380</v>
      </c>
      <c r="BL7" s="48">
        <v>0</v>
      </c>
      <c r="BM7" s="48">
        <v>1740.66</v>
      </c>
      <c r="BN7" s="48">
        <v>4236</v>
      </c>
      <c r="BO7" s="48">
        <v>36780.36</v>
      </c>
      <c r="BP7" s="48">
        <v>31740.7</v>
      </c>
      <c r="BQ7" s="48">
        <v>0</v>
      </c>
      <c r="BR7" s="48">
        <v>0</v>
      </c>
      <c r="BS7" s="48">
        <v>527</v>
      </c>
      <c r="BT7" s="48">
        <v>0</v>
      </c>
      <c r="BU7" s="48">
        <v>0</v>
      </c>
      <c r="BV7" s="48">
        <v>4835</v>
      </c>
      <c r="BW7" s="48">
        <v>0</v>
      </c>
      <c r="BX7" s="48">
        <v>527</v>
      </c>
      <c r="BY7" s="48">
        <v>1</v>
      </c>
      <c r="BZ7" s="48">
        <v>0</v>
      </c>
      <c r="CA7" s="453">
        <v>0</v>
      </c>
      <c r="CB7" s="454"/>
      <c r="CC7" s="48">
        <v>0</v>
      </c>
      <c r="CD7" s="48">
        <v>6540.55</v>
      </c>
      <c r="CE7" s="48">
        <v>8757</v>
      </c>
      <c r="CF7" s="48">
        <v>157525</v>
      </c>
      <c r="CG7" s="48">
        <v>0</v>
      </c>
      <c r="CH7" s="48">
        <v>0</v>
      </c>
      <c r="CI7" s="48">
        <v>0</v>
      </c>
      <c r="CJ7" s="49">
        <v>0</v>
      </c>
      <c r="CK7" s="50">
        <f t="shared" si="0"/>
        <v>166282</v>
      </c>
      <c r="CL7" s="50">
        <f t="shared" si="1"/>
        <v>0</v>
      </c>
    </row>
    <row r="8" spans="1:90" ht="25.5">
      <c r="A8" s="48">
        <v>302</v>
      </c>
      <c r="B8" s="48">
        <v>2002</v>
      </c>
      <c r="C8" s="48" t="s">
        <v>36</v>
      </c>
      <c r="D8" s="48" t="s">
        <v>441</v>
      </c>
      <c r="E8" s="48"/>
      <c r="F8" s="48" t="s">
        <v>435</v>
      </c>
      <c r="G8" s="48">
        <v>0</v>
      </c>
      <c r="H8" s="48">
        <v>0</v>
      </c>
      <c r="I8" s="48" t="s">
        <v>436</v>
      </c>
      <c r="J8" s="48" t="s">
        <v>437</v>
      </c>
      <c r="K8" s="48" t="s">
        <v>438</v>
      </c>
      <c r="L8" s="48" t="s">
        <v>439</v>
      </c>
      <c r="M8" s="48" t="s">
        <v>438</v>
      </c>
      <c r="N8" s="48" t="s">
        <v>440</v>
      </c>
      <c r="O8" s="48" t="s">
        <v>181</v>
      </c>
      <c r="P8" s="48" t="s">
        <v>181</v>
      </c>
      <c r="Q8" s="48">
        <v>236234</v>
      </c>
      <c r="R8" s="48">
        <v>0</v>
      </c>
      <c r="S8" s="48">
        <v>0</v>
      </c>
      <c r="T8" s="48">
        <v>2329203.09</v>
      </c>
      <c r="U8" s="48">
        <v>0</v>
      </c>
      <c r="V8" s="48">
        <v>85020.36</v>
      </c>
      <c r="W8" s="48">
        <v>0</v>
      </c>
      <c r="X8" s="48">
        <v>162725.03</v>
      </c>
      <c r="Y8" s="48">
        <v>1845</v>
      </c>
      <c r="Z8" s="48">
        <v>0</v>
      </c>
      <c r="AA8" s="48">
        <v>7953.5</v>
      </c>
      <c r="AB8" s="48">
        <v>15541.26</v>
      </c>
      <c r="AC8" s="48">
        <v>25000.45</v>
      </c>
      <c r="AD8" s="48">
        <v>22588.5</v>
      </c>
      <c r="AE8" s="48">
        <v>1000</v>
      </c>
      <c r="AF8" s="48">
        <v>7795.54</v>
      </c>
      <c r="AG8" s="48">
        <v>977.06</v>
      </c>
      <c r="AH8" s="48">
        <v>0</v>
      </c>
      <c r="AI8" s="48">
        <v>0</v>
      </c>
      <c r="AJ8" s="48">
        <v>0</v>
      </c>
      <c r="AK8" s="48">
        <v>0</v>
      </c>
      <c r="AL8" s="48">
        <v>0</v>
      </c>
      <c r="AM8" s="48">
        <v>20700.38</v>
      </c>
      <c r="AN8" s="48">
        <v>84772.04</v>
      </c>
      <c r="AO8" s="48">
        <v>1236138.18</v>
      </c>
      <c r="AP8" s="48">
        <v>0</v>
      </c>
      <c r="AQ8" s="48">
        <v>640141.16</v>
      </c>
      <c r="AR8" s="48">
        <v>56135.88</v>
      </c>
      <c r="AS8" s="48">
        <v>112581.17</v>
      </c>
      <c r="AT8" s="48">
        <v>0</v>
      </c>
      <c r="AU8" s="48">
        <v>62879.17</v>
      </c>
      <c r="AV8" s="48">
        <v>86435.01</v>
      </c>
      <c r="AW8" s="48">
        <v>7308.82</v>
      </c>
      <c r="AX8" s="48">
        <v>15765.83</v>
      </c>
      <c r="AY8" s="48">
        <v>0</v>
      </c>
      <c r="AZ8" s="48">
        <v>28607.37</v>
      </c>
      <c r="BA8" s="48">
        <v>0</v>
      </c>
      <c r="BB8" s="48">
        <v>51425.52</v>
      </c>
      <c r="BC8" s="48">
        <v>10339.120000000001</v>
      </c>
      <c r="BD8" s="48">
        <v>46917.88</v>
      </c>
      <c r="BE8" s="48">
        <v>30976</v>
      </c>
      <c r="BF8" s="48">
        <v>11018</v>
      </c>
      <c r="BG8" s="48">
        <v>47949.36</v>
      </c>
      <c r="BH8" s="48">
        <v>10060.969999999999</v>
      </c>
      <c r="BI8" s="48">
        <v>0</v>
      </c>
      <c r="BJ8" s="48">
        <v>20269</v>
      </c>
      <c r="BK8" s="48">
        <v>11984.05</v>
      </c>
      <c r="BL8" s="48">
        <v>13956.43</v>
      </c>
      <c r="BM8" s="48">
        <v>94365.32</v>
      </c>
      <c r="BN8" s="48">
        <v>63494.5</v>
      </c>
      <c r="BO8" s="48">
        <v>163903.51999999999</v>
      </c>
      <c r="BP8" s="48">
        <v>31492.2</v>
      </c>
      <c r="BQ8" s="48">
        <v>0</v>
      </c>
      <c r="BR8" s="48">
        <v>0</v>
      </c>
      <c r="BS8" s="48">
        <v>18757</v>
      </c>
      <c r="BT8" s="48">
        <v>0</v>
      </c>
      <c r="BU8" s="48">
        <v>0</v>
      </c>
      <c r="BV8" s="48">
        <v>9067</v>
      </c>
      <c r="BW8" s="48">
        <v>0</v>
      </c>
      <c r="BX8" s="48">
        <v>18757</v>
      </c>
      <c r="BY8" s="48">
        <v>1</v>
      </c>
      <c r="BZ8" s="48">
        <v>0</v>
      </c>
      <c r="CA8" s="453">
        <v>27824</v>
      </c>
      <c r="CB8" s="454"/>
      <c r="CC8" s="48">
        <v>0</v>
      </c>
      <c r="CD8" s="48">
        <v>0</v>
      </c>
      <c r="CE8" s="48">
        <v>23749</v>
      </c>
      <c r="CF8" s="48">
        <v>104706</v>
      </c>
      <c r="CG8" s="48">
        <v>0</v>
      </c>
      <c r="CH8" s="48">
        <v>0</v>
      </c>
      <c r="CI8" s="48">
        <v>0</v>
      </c>
      <c r="CJ8" s="49">
        <v>0</v>
      </c>
      <c r="CK8" s="50">
        <f t="shared" si="0"/>
        <v>128455</v>
      </c>
      <c r="CL8" s="50">
        <f t="shared" si="1"/>
        <v>0</v>
      </c>
    </row>
    <row r="9" spans="1:90" ht="25.5">
      <c r="A9" s="48">
        <v>302</v>
      </c>
      <c r="B9" s="48">
        <v>2003</v>
      </c>
      <c r="C9" s="48" t="s">
        <v>38</v>
      </c>
      <c r="D9" s="48" t="s">
        <v>441</v>
      </c>
      <c r="E9" s="48"/>
      <c r="F9" s="48" t="s">
        <v>435</v>
      </c>
      <c r="G9" s="48">
        <v>0</v>
      </c>
      <c r="H9" s="48">
        <v>1</v>
      </c>
      <c r="I9" s="48" t="s">
        <v>436</v>
      </c>
      <c r="J9" s="48" t="s">
        <v>437</v>
      </c>
      <c r="K9" s="48" t="s">
        <v>438</v>
      </c>
      <c r="L9" s="48" t="s">
        <v>439</v>
      </c>
      <c r="M9" s="48" t="s">
        <v>438</v>
      </c>
      <c r="N9" s="48" t="s">
        <v>440</v>
      </c>
      <c r="O9" s="48" t="s">
        <v>181</v>
      </c>
      <c r="P9" s="48" t="s">
        <v>181</v>
      </c>
      <c r="Q9" s="48">
        <v>-157555.82999999999</v>
      </c>
      <c r="R9" s="48">
        <v>81322.710000000006</v>
      </c>
      <c r="S9" s="48">
        <v>0</v>
      </c>
      <c r="T9" s="48">
        <v>1994058.6</v>
      </c>
      <c r="U9" s="48">
        <v>0</v>
      </c>
      <c r="V9" s="48">
        <v>120515.24</v>
      </c>
      <c r="W9" s="48">
        <v>0</v>
      </c>
      <c r="X9" s="48">
        <v>188545.96</v>
      </c>
      <c r="Y9" s="48">
        <v>46885.91</v>
      </c>
      <c r="Z9" s="48">
        <v>0</v>
      </c>
      <c r="AA9" s="48">
        <v>14572</v>
      </c>
      <c r="AB9" s="48">
        <v>33760.730000000003</v>
      </c>
      <c r="AC9" s="48">
        <v>19766</v>
      </c>
      <c r="AD9" s="48">
        <v>0</v>
      </c>
      <c r="AE9" s="48">
        <v>0</v>
      </c>
      <c r="AF9" s="48">
        <v>15431.5</v>
      </c>
      <c r="AG9" s="48">
        <v>753.86</v>
      </c>
      <c r="AH9" s="48">
        <v>0</v>
      </c>
      <c r="AI9" s="48">
        <v>164301</v>
      </c>
      <c r="AJ9" s="48">
        <v>0</v>
      </c>
      <c r="AK9" s="48">
        <v>0</v>
      </c>
      <c r="AL9" s="48">
        <v>9398.36</v>
      </c>
      <c r="AM9" s="48">
        <v>39490.93</v>
      </c>
      <c r="AN9" s="48">
        <v>51899</v>
      </c>
      <c r="AO9" s="48">
        <v>848747.31</v>
      </c>
      <c r="AP9" s="48">
        <v>0</v>
      </c>
      <c r="AQ9" s="48">
        <v>487757.04</v>
      </c>
      <c r="AR9" s="48">
        <v>104446.3</v>
      </c>
      <c r="AS9" s="48">
        <v>104412.7</v>
      </c>
      <c r="AT9" s="48">
        <v>0</v>
      </c>
      <c r="AU9" s="48">
        <v>67872.89</v>
      </c>
      <c r="AV9" s="48">
        <v>16945.54</v>
      </c>
      <c r="AW9" s="48">
        <v>16319.23</v>
      </c>
      <c r="AX9" s="48">
        <v>578.91999999999996</v>
      </c>
      <c r="AY9" s="48">
        <v>1446</v>
      </c>
      <c r="AZ9" s="48">
        <v>35930.57</v>
      </c>
      <c r="BA9" s="48">
        <v>1633.25</v>
      </c>
      <c r="BB9" s="48">
        <v>4641.37</v>
      </c>
      <c r="BC9" s="48">
        <v>11242.14</v>
      </c>
      <c r="BD9" s="48">
        <v>26831.51</v>
      </c>
      <c r="BE9" s="48">
        <v>19535.849999999999</v>
      </c>
      <c r="BF9" s="48">
        <v>5668.1</v>
      </c>
      <c r="BG9" s="48">
        <v>76684.070000000007</v>
      </c>
      <c r="BH9" s="48">
        <v>22392</v>
      </c>
      <c r="BI9" s="48">
        <v>0</v>
      </c>
      <c r="BJ9" s="48">
        <v>26095.88</v>
      </c>
      <c r="BK9" s="48">
        <v>9093.01</v>
      </c>
      <c r="BL9" s="48">
        <v>11249.68</v>
      </c>
      <c r="BM9" s="48">
        <v>102768</v>
      </c>
      <c r="BN9" s="48">
        <v>206888.7</v>
      </c>
      <c r="BO9" s="48">
        <v>142961</v>
      </c>
      <c r="BP9" s="48">
        <v>89911.72</v>
      </c>
      <c r="BQ9" s="48">
        <v>0</v>
      </c>
      <c r="BR9" s="48">
        <v>0</v>
      </c>
      <c r="BS9" s="48">
        <v>0</v>
      </c>
      <c r="BT9" s="48">
        <v>108556.31</v>
      </c>
      <c r="BU9" s="48">
        <v>19324.310000000001</v>
      </c>
      <c r="BV9" s="48">
        <v>8581</v>
      </c>
      <c r="BW9" s="48">
        <v>0</v>
      </c>
      <c r="BX9" s="48">
        <v>0</v>
      </c>
      <c r="BY9" s="48">
        <v>1</v>
      </c>
      <c r="BZ9" s="48">
        <v>0</v>
      </c>
      <c r="CA9" s="453">
        <v>0</v>
      </c>
      <c r="CB9" s="454"/>
      <c r="CC9" s="48">
        <v>0</v>
      </c>
      <c r="CD9" s="48">
        <v>0</v>
      </c>
      <c r="CE9" s="48">
        <v>0</v>
      </c>
      <c r="CF9" s="48">
        <v>-64531</v>
      </c>
      <c r="CG9" s="48">
        <v>8581</v>
      </c>
      <c r="CH9" s="48">
        <v>0</v>
      </c>
      <c r="CI9" s="48">
        <v>117743</v>
      </c>
      <c r="CJ9" s="49">
        <v>0</v>
      </c>
      <c r="CK9" s="50">
        <f t="shared" si="0"/>
        <v>53212</v>
      </c>
      <c r="CL9" s="50">
        <f t="shared" si="1"/>
        <v>8581</v>
      </c>
    </row>
    <row r="10" spans="1:90" ht="25.5">
      <c r="A10" s="48">
        <v>302</v>
      </c>
      <c r="B10" s="48">
        <v>2007</v>
      </c>
      <c r="C10" s="48" t="s">
        <v>41</v>
      </c>
      <c r="D10" s="48" t="s">
        <v>441</v>
      </c>
      <c r="E10" s="48"/>
      <c r="F10" s="48" t="s">
        <v>435</v>
      </c>
      <c r="G10" s="48">
        <v>0</v>
      </c>
      <c r="H10" s="48">
        <v>0</v>
      </c>
      <c r="I10" s="48" t="s">
        <v>436</v>
      </c>
      <c r="J10" s="48" t="s">
        <v>437</v>
      </c>
      <c r="K10" s="48" t="s">
        <v>438</v>
      </c>
      <c r="L10" s="48" t="s">
        <v>439</v>
      </c>
      <c r="M10" s="48" t="s">
        <v>438</v>
      </c>
      <c r="N10" s="48" t="s">
        <v>440</v>
      </c>
      <c r="O10" s="48" t="s">
        <v>181</v>
      </c>
      <c r="P10" s="48" t="s">
        <v>181</v>
      </c>
      <c r="Q10" s="48">
        <v>74015.42</v>
      </c>
      <c r="R10" s="48">
        <v>0</v>
      </c>
      <c r="S10" s="48">
        <v>-0.8</v>
      </c>
      <c r="T10" s="48">
        <v>1569294.74</v>
      </c>
      <c r="U10" s="48">
        <v>0</v>
      </c>
      <c r="V10" s="48">
        <v>127170.07</v>
      </c>
      <c r="W10" s="48">
        <v>0</v>
      </c>
      <c r="X10" s="48">
        <v>98679.99</v>
      </c>
      <c r="Y10" s="48">
        <v>15303</v>
      </c>
      <c r="Z10" s="48">
        <v>0</v>
      </c>
      <c r="AA10" s="48">
        <v>42840.19</v>
      </c>
      <c r="AB10" s="48">
        <v>14591.07</v>
      </c>
      <c r="AC10" s="48">
        <v>68813.350000000006</v>
      </c>
      <c r="AD10" s="48">
        <v>8400</v>
      </c>
      <c r="AE10" s="48">
        <v>835</v>
      </c>
      <c r="AF10" s="48">
        <v>54173.89</v>
      </c>
      <c r="AG10" s="48">
        <v>22675.68</v>
      </c>
      <c r="AH10" s="48">
        <v>0</v>
      </c>
      <c r="AI10" s="48">
        <v>0</v>
      </c>
      <c r="AJ10" s="48">
        <v>0</v>
      </c>
      <c r="AK10" s="48">
        <v>0</v>
      </c>
      <c r="AL10" s="48">
        <v>770</v>
      </c>
      <c r="AM10" s="48">
        <v>22920</v>
      </c>
      <c r="AN10" s="48">
        <v>22842.17</v>
      </c>
      <c r="AO10" s="48">
        <v>1008115.18</v>
      </c>
      <c r="AP10" s="48">
        <v>0</v>
      </c>
      <c r="AQ10" s="48">
        <v>299353.53000000003</v>
      </c>
      <c r="AR10" s="48">
        <v>48753.85</v>
      </c>
      <c r="AS10" s="48">
        <v>92809.71</v>
      </c>
      <c r="AT10" s="48">
        <v>0</v>
      </c>
      <c r="AU10" s="48">
        <v>34600.92</v>
      </c>
      <c r="AV10" s="48">
        <v>8823.0499999999993</v>
      </c>
      <c r="AW10" s="48">
        <v>4753.55</v>
      </c>
      <c r="AX10" s="48">
        <v>12512.27</v>
      </c>
      <c r="AY10" s="48">
        <v>0</v>
      </c>
      <c r="AZ10" s="48">
        <v>16682.03</v>
      </c>
      <c r="BA10" s="48">
        <v>3923.18</v>
      </c>
      <c r="BB10" s="48">
        <v>26912.35</v>
      </c>
      <c r="BC10" s="48">
        <v>7744.54</v>
      </c>
      <c r="BD10" s="48">
        <v>29024.7</v>
      </c>
      <c r="BE10" s="48">
        <v>20083</v>
      </c>
      <c r="BF10" s="48">
        <v>8790.07</v>
      </c>
      <c r="BG10" s="48">
        <v>67270.12</v>
      </c>
      <c r="BH10" s="48">
        <v>12067.13</v>
      </c>
      <c r="BI10" s="48">
        <v>0</v>
      </c>
      <c r="BJ10" s="48">
        <v>17578.939999999999</v>
      </c>
      <c r="BK10" s="48">
        <v>9996.4599999999991</v>
      </c>
      <c r="BL10" s="48">
        <v>6689.65</v>
      </c>
      <c r="BM10" s="48">
        <v>78082.429999999993</v>
      </c>
      <c r="BN10" s="48">
        <v>35200.86</v>
      </c>
      <c r="BO10" s="48">
        <v>192736.33</v>
      </c>
      <c r="BP10" s="48">
        <v>26077.31</v>
      </c>
      <c r="BQ10" s="48">
        <v>0</v>
      </c>
      <c r="BR10" s="48">
        <v>0</v>
      </c>
      <c r="BS10" s="48">
        <v>2110</v>
      </c>
      <c r="BT10" s="48">
        <v>0</v>
      </c>
      <c r="BU10" s="48">
        <v>0</v>
      </c>
      <c r="BV10" s="48">
        <v>8016.25</v>
      </c>
      <c r="BW10" s="48">
        <v>0</v>
      </c>
      <c r="BX10" s="48">
        <v>2110</v>
      </c>
      <c r="BY10" s="48">
        <v>1</v>
      </c>
      <c r="BZ10" s="48">
        <v>0</v>
      </c>
      <c r="CA10" s="453">
        <v>10126</v>
      </c>
      <c r="CB10" s="454"/>
      <c r="CC10" s="48">
        <v>0</v>
      </c>
      <c r="CD10" s="48">
        <v>0</v>
      </c>
      <c r="CE10" s="48">
        <v>1942</v>
      </c>
      <c r="CF10" s="48">
        <v>70691</v>
      </c>
      <c r="CG10" s="48">
        <v>0</v>
      </c>
      <c r="CH10" s="48">
        <v>0</v>
      </c>
      <c r="CI10" s="48">
        <v>0</v>
      </c>
      <c r="CJ10" s="49">
        <v>0</v>
      </c>
      <c r="CK10" s="50">
        <f t="shared" si="0"/>
        <v>72633</v>
      </c>
      <c r="CL10" s="50">
        <f t="shared" si="1"/>
        <v>0</v>
      </c>
    </row>
    <row r="11" spans="1:90" ht="25.5">
      <c r="A11" s="48">
        <v>302</v>
      </c>
      <c r="B11" s="48">
        <v>2008</v>
      </c>
      <c r="C11" s="48" t="s">
        <v>40</v>
      </c>
      <c r="D11" s="48" t="s">
        <v>441</v>
      </c>
      <c r="E11" s="48"/>
      <c r="F11" s="48" t="s">
        <v>435</v>
      </c>
      <c r="G11" s="48">
        <v>0</v>
      </c>
      <c r="H11" s="48">
        <v>0</v>
      </c>
      <c r="I11" s="48" t="s">
        <v>436</v>
      </c>
      <c r="J11" s="48" t="s">
        <v>437</v>
      </c>
      <c r="K11" s="48" t="s">
        <v>438</v>
      </c>
      <c r="L11" s="48" t="s">
        <v>439</v>
      </c>
      <c r="M11" s="48" t="s">
        <v>438</v>
      </c>
      <c r="N11" s="48" t="s">
        <v>440</v>
      </c>
      <c r="O11" s="48" t="s">
        <v>181</v>
      </c>
      <c r="P11" s="48" t="s">
        <v>181</v>
      </c>
      <c r="Q11" s="48">
        <v>91871.51</v>
      </c>
      <c r="R11" s="48">
        <v>0</v>
      </c>
      <c r="S11" s="48">
        <v>7471.75</v>
      </c>
      <c r="T11" s="48">
        <v>1485006.17</v>
      </c>
      <c r="U11" s="48">
        <v>0</v>
      </c>
      <c r="V11" s="48">
        <v>102804.79</v>
      </c>
      <c r="W11" s="48">
        <v>0</v>
      </c>
      <c r="X11" s="48">
        <v>62524.98</v>
      </c>
      <c r="Y11" s="48">
        <v>13991.5</v>
      </c>
      <c r="Z11" s="48">
        <v>0</v>
      </c>
      <c r="AA11" s="48">
        <v>32607.38</v>
      </c>
      <c r="AB11" s="48">
        <v>78247.75</v>
      </c>
      <c r="AC11" s="48">
        <v>8605.09</v>
      </c>
      <c r="AD11" s="48">
        <v>19296</v>
      </c>
      <c r="AE11" s="48">
        <v>0</v>
      </c>
      <c r="AF11" s="48">
        <v>13500</v>
      </c>
      <c r="AG11" s="48">
        <v>19319.11</v>
      </c>
      <c r="AH11" s="48">
        <v>0</v>
      </c>
      <c r="AI11" s="48">
        <v>0</v>
      </c>
      <c r="AJ11" s="48">
        <v>0</v>
      </c>
      <c r="AK11" s="48">
        <v>0</v>
      </c>
      <c r="AL11" s="48">
        <v>11975</v>
      </c>
      <c r="AM11" s="48">
        <v>14466.88</v>
      </c>
      <c r="AN11" s="48">
        <v>119584.33</v>
      </c>
      <c r="AO11" s="48">
        <v>895727.73</v>
      </c>
      <c r="AP11" s="48">
        <v>0</v>
      </c>
      <c r="AQ11" s="48">
        <v>494600</v>
      </c>
      <c r="AR11" s="48">
        <v>44553.71</v>
      </c>
      <c r="AS11" s="48">
        <v>74426.39</v>
      </c>
      <c r="AT11" s="48">
        <v>0</v>
      </c>
      <c r="AU11" s="48">
        <v>26891.55</v>
      </c>
      <c r="AV11" s="48">
        <v>8522.2800000000007</v>
      </c>
      <c r="AW11" s="48">
        <v>4012.5</v>
      </c>
      <c r="AX11" s="48">
        <v>20255.080000000002</v>
      </c>
      <c r="AY11" s="48">
        <v>0</v>
      </c>
      <c r="AZ11" s="48">
        <v>11496.48</v>
      </c>
      <c r="BA11" s="48">
        <v>4400.17</v>
      </c>
      <c r="BB11" s="48">
        <v>19074.88</v>
      </c>
      <c r="BC11" s="48">
        <v>5521.74</v>
      </c>
      <c r="BD11" s="48">
        <v>17145.740000000002</v>
      </c>
      <c r="BE11" s="48">
        <v>20083</v>
      </c>
      <c r="BF11" s="48">
        <v>8525.2199999999993</v>
      </c>
      <c r="BG11" s="48">
        <v>43107.96</v>
      </c>
      <c r="BH11" s="48">
        <v>12681.03</v>
      </c>
      <c r="BI11" s="48">
        <v>0</v>
      </c>
      <c r="BJ11" s="48">
        <v>10196.209999999999</v>
      </c>
      <c r="BK11" s="48">
        <v>8314.0300000000007</v>
      </c>
      <c r="BL11" s="48">
        <v>10415.31</v>
      </c>
      <c r="BM11" s="48">
        <v>87102.080000000002</v>
      </c>
      <c r="BN11" s="48">
        <v>26069.5</v>
      </c>
      <c r="BO11" s="48">
        <v>95074.45</v>
      </c>
      <c r="BP11" s="48">
        <v>27541.41</v>
      </c>
      <c r="BQ11" s="48">
        <v>200</v>
      </c>
      <c r="BR11" s="48">
        <v>0</v>
      </c>
      <c r="BS11" s="48">
        <v>7858</v>
      </c>
      <c r="BT11" s="48">
        <v>0</v>
      </c>
      <c r="BU11" s="48">
        <v>0</v>
      </c>
      <c r="BV11" s="48">
        <v>7422</v>
      </c>
      <c r="BW11" s="48">
        <v>0</v>
      </c>
      <c r="BX11" s="48">
        <v>7858</v>
      </c>
      <c r="BY11" s="48">
        <v>1</v>
      </c>
      <c r="BZ11" s="48">
        <v>0</v>
      </c>
      <c r="CA11" s="453">
        <v>0</v>
      </c>
      <c r="CB11" s="454"/>
      <c r="CC11" s="48">
        <v>0</v>
      </c>
      <c r="CD11" s="48">
        <v>22752</v>
      </c>
      <c r="CE11" s="48">
        <v>0</v>
      </c>
      <c r="CF11" s="48">
        <v>90004</v>
      </c>
      <c r="CG11" s="48">
        <v>0</v>
      </c>
      <c r="CH11" s="48">
        <v>0</v>
      </c>
      <c r="CI11" s="48">
        <v>0</v>
      </c>
      <c r="CJ11" s="49">
        <v>0</v>
      </c>
      <c r="CK11" s="50">
        <f t="shared" si="0"/>
        <v>90004</v>
      </c>
      <c r="CL11" s="50">
        <f t="shared" si="1"/>
        <v>0</v>
      </c>
    </row>
    <row r="12" spans="1:90" ht="25.5">
      <c r="A12" s="48">
        <v>302</v>
      </c>
      <c r="B12" s="48">
        <v>2009</v>
      </c>
      <c r="C12" s="48" t="s">
        <v>42</v>
      </c>
      <c r="D12" s="48" t="s">
        <v>441</v>
      </c>
      <c r="E12" s="48"/>
      <c r="F12" s="48" t="s">
        <v>435</v>
      </c>
      <c r="G12" s="48">
        <v>0</v>
      </c>
      <c r="H12" s="48">
        <v>0</v>
      </c>
      <c r="I12" s="48" t="s">
        <v>436</v>
      </c>
      <c r="J12" s="48" t="s">
        <v>437</v>
      </c>
      <c r="K12" s="48" t="s">
        <v>438</v>
      </c>
      <c r="L12" s="48" t="s">
        <v>439</v>
      </c>
      <c r="M12" s="48" t="s">
        <v>438</v>
      </c>
      <c r="N12" s="48" t="s">
        <v>440</v>
      </c>
      <c r="O12" s="48" t="s">
        <v>181</v>
      </c>
      <c r="P12" s="48" t="s">
        <v>181</v>
      </c>
      <c r="Q12" s="48">
        <v>86705.17</v>
      </c>
      <c r="R12" s="48">
        <v>0</v>
      </c>
      <c r="S12" s="48">
        <v>39116.379999999997</v>
      </c>
      <c r="T12" s="48">
        <v>2228919.67</v>
      </c>
      <c r="U12" s="48">
        <v>0</v>
      </c>
      <c r="V12" s="48">
        <v>113343.72</v>
      </c>
      <c r="W12" s="48">
        <v>0</v>
      </c>
      <c r="X12" s="48">
        <v>114979.95</v>
      </c>
      <c r="Y12" s="48">
        <v>15799.8</v>
      </c>
      <c r="Z12" s="48">
        <v>0</v>
      </c>
      <c r="AA12" s="48">
        <v>6634.67</v>
      </c>
      <c r="AB12" s="48">
        <v>149367.53</v>
      </c>
      <c r="AC12" s="48">
        <v>27059.66</v>
      </c>
      <c r="AD12" s="48">
        <v>0</v>
      </c>
      <c r="AE12" s="48">
        <v>0</v>
      </c>
      <c r="AF12" s="48">
        <v>10920.64</v>
      </c>
      <c r="AG12" s="48">
        <v>8869.35</v>
      </c>
      <c r="AH12" s="48">
        <v>0</v>
      </c>
      <c r="AI12" s="48">
        <v>0</v>
      </c>
      <c r="AJ12" s="48">
        <v>0</v>
      </c>
      <c r="AK12" s="48">
        <v>0</v>
      </c>
      <c r="AL12" s="48">
        <v>5963.65</v>
      </c>
      <c r="AM12" s="48">
        <v>20040</v>
      </c>
      <c r="AN12" s="48">
        <v>70380</v>
      </c>
      <c r="AO12" s="48">
        <v>1348183.9</v>
      </c>
      <c r="AP12" s="48">
        <v>0</v>
      </c>
      <c r="AQ12" s="48">
        <v>561104</v>
      </c>
      <c r="AR12" s="48">
        <v>38641.01</v>
      </c>
      <c r="AS12" s="48">
        <v>81835.27</v>
      </c>
      <c r="AT12" s="48">
        <v>0</v>
      </c>
      <c r="AU12" s="48">
        <v>100213.72</v>
      </c>
      <c r="AV12" s="48">
        <v>10224.959999999999</v>
      </c>
      <c r="AW12" s="48">
        <v>16359.48</v>
      </c>
      <c r="AX12" s="48">
        <v>687.16</v>
      </c>
      <c r="AY12" s="48">
        <v>0</v>
      </c>
      <c r="AZ12" s="48">
        <v>18052.91</v>
      </c>
      <c r="BA12" s="48">
        <v>6002.55</v>
      </c>
      <c r="BB12" s="48">
        <v>41584.49</v>
      </c>
      <c r="BC12" s="48">
        <v>6441.19</v>
      </c>
      <c r="BD12" s="48">
        <v>32657.27</v>
      </c>
      <c r="BE12" s="48">
        <v>39900</v>
      </c>
      <c r="BF12" s="48">
        <v>13965.86</v>
      </c>
      <c r="BG12" s="48">
        <v>65305.21</v>
      </c>
      <c r="BH12" s="48">
        <v>7079.64</v>
      </c>
      <c r="BI12" s="48">
        <v>0</v>
      </c>
      <c r="BJ12" s="48">
        <v>19219.990000000002</v>
      </c>
      <c r="BK12" s="48">
        <v>14718.53</v>
      </c>
      <c r="BL12" s="48">
        <v>40268.74</v>
      </c>
      <c r="BM12" s="48">
        <v>96663.58</v>
      </c>
      <c r="BN12" s="48">
        <v>29892.5</v>
      </c>
      <c r="BO12" s="48">
        <v>83416.11</v>
      </c>
      <c r="BP12" s="48">
        <v>32789.97</v>
      </c>
      <c r="BQ12" s="48">
        <v>0</v>
      </c>
      <c r="BR12" s="48">
        <v>0</v>
      </c>
      <c r="BS12" s="48">
        <v>0</v>
      </c>
      <c r="BT12" s="48">
        <v>0</v>
      </c>
      <c r="BU12" s="48">
        <v>0</v>
      </c>
      <c r="BV12" s="48">
        <v>9077</v>
      </c>
      <c r="BW12" s="48">
        <v>0</v>
      </c>
      <c r="BX12" s="48">
        <v>0</v>
      </c>
      <c r="BY12" s="48">
        <v>1</v>
      </c>
      <c r="BZ12" s="48">
        <v>0</v>
      </c>
      <c r="CA12" s="453">
        <v>32716.639999999999</v>
      </c>
      <c r="CB12" s="454"/>
      <c r="CC12" s="48">
        <v>11444</v>
      </c>
      <c r="CD12" s="48">
        <v>133</v>
      </c>
      <c r="CE12" s="48">
        <v>0</v>
      </c>
      <c r="CF12" s="48">
        <v>153776</v>
      </c>
      <c r="CG12" s="48">
        <v>0</v>
      </c>
      <c r="CH12" s="48">
        <v>3900</v>
      </c>
      <c r="CI12" s="48">
        <v>0</v>
      </c>
      <c r="CJ12" s="49">
        <v>0</v>
      </c>
      <c r="CK12" s="50">
        <f t="shared" si="0"/>
        <v>153776</v>
      </c>
      <c r="CL12" s="50">
        <f t="shared" si="1"/>
        <v>3900</v>
      </c>
    </row>
    <row r="13" spans="1:90" ht="25.5">
      <c r="A13" s="48">
        <v>302</v>
      </c>
      <c r="B13" s="48">
        <v>2011</v>
      </c>
      <c r="C13" s="48" t="s">
        <v>46</v>
      </c>
      <c r="D13" s="48" t="s">
        <v>441</v>
      </c>
      <c r="E13" s="48"/>
      <c r="F13" s="48" t="s">
        <v>435</v>
      </c>
      <c r="G13" s="48">
        <v>0</v>
      </c>
      <c r="H13" s="48">
        <v>2</v>
      </c>
      <c r="I13" s="48" t="s">
        <v>436</v>
      </c>
      <c r="J13" s="48" t="s">
        <v>437</v>
      </c>
      <c r="K13" s="48" t="s">
        <v>438</v>
      </c>
      <c r="L13" s="48" t="s">
        <v>439</v>
      </c>
      <c r="M13" s="48" t="s">
        <v>438</v>
      </c>
      <c r="N13" s="48" t="s">
        <v>440</v>
      </c>
      <c r="O13" s="48" t="s">
        <v>181</v>
      </c>
      <c r="P13" s="48" t="s">
        <v>181</v>
      </c>
      <c r="Q13" s="48">
        <v>-130596.25</v>
      </c>
      <c r="R13" s="48">
        <v>0</v>
      </c>
      <c r="S13" s="48">
        <v>6989</v>
      </c>
      <c r="T13" s="48">
        <v>1004452.16</v>
      </c>
      <c r="U13" s="48">
        <v>0</v>
      </c>
      <c r="V13" s="48">
        <v>13904.91</v>
      </c>
      <c r="W13" s="48">
        <v>0</v>
      </c>
      <c r="X13" s="48">
        <v>49074.96</v>
      </c>
      <c r="Y13" s="48">
        <v>0</v>
      </c>
      <c r="Z13" s="48">
        <v>0</v>
      </c>
      <c r="AA13" s="48">
        <v>10417.299999999999</v>
      </c>
      <c r="AB13" s="48">
        <v>69465.5</v>
      </c>
      <c r="AC13" s="48">
        <v>23629.06</v>
      </c>
      <c r="AD13" s="48">
        <v>0</v>
      </c>
      <c r="AE13" s="48">
        <v>0</v>
      </c>
      <c r="AF13" s="48">
        <v>7161.82</v>
      </c>
      <c r="AG13" s="48">
        <v>3604.82</v>
      </c>
      <c r="AH13" s="48">
        <v>0</v>
      </c>
      <c r="AI13" s="48">
        <v>0</v>
      </c>
      <c r="AJ13" s="48">
        <v>0</v>
      </c>
      <c r="AK13" s="48">
        <v>0</v>
      </c>
      <c r="AL13" s="48">
        <v>0</v>
      </c>
      <c r="AM13" s="48">
        <v>11978.12</v>
      </c>
      <c r="AN13" s="48">
        <v>48771.83</v>
      </c>
      <c r="AO13" s="48">
        <v>599439.62</v>
      </c>
      <c r="AP13" s="48">
        <v>0</v>
      </c>
      <c r="AQ13" s="48">
        <v>235290.27</v>
      </c>
      <c r="AR13" s="48">
        <v>39811.74</v>
      </c>
      <c r="AS13" s="48">
        <v>54890.87</v>
      </c>
      <c r="AT13" s="48">
        <v>0</v>
      </c>
      <c r="AU13" s="48">
        <v>52179.78</v>
      </c>
      <c r="AV13" s="48">
        <v>6959.63</v>
      </c>
      <c r="AW13" s="48">
        <v>1809.84</v>
      </c>
      <c r="AX13" s="48">
        <v>342.76</v>
      </c>
      <c r="AY13" s="48">
        <v>0</v>
      </c>
      <c r="AZ13" s="48">
        <v>10316.15</v>
      </c>
      <c r="BA13" s="48">
        <v>4666.25</v>
      </c>
      <c r="BB13" s="48">
        <v>16851.75</v>
      </c>
      <c r="BC13" s="48">
        <v>1242.1500000000001</v>
      </c>
      <c r="BD13" s="48">
        <v>25253.119999999999</v>
      </c>
      <c r="BE13" s="48">
        <v>20958</v>
      </c>
      <c r="BF13" s="48">
        <v>7014.35</v>
      </c>
      <c r="BG13" s="48">
        <v>38933.15</v>
      </c>
      <c r="BH13" s="48">
        <v>6529.94</v>
      </c>
      <c r="BI13" s="48">
        <v>0</v>
      </c>
      <c r="BJ13" s="48">
        <v>8132.63</v>
      </c>
      <c r="BK13" s="48">
        <v>8620.83</v>
      </c>
      <c r="BL13" s="48">
        <v>7177.58</v>
      </c>
      <c r="BM13" s="48">
        <v>64173.1</v>
      </c>
      <c r="BN13" s="48">
        <v>357.5</v>
      </c>
      <c r="BO13" s="48">
        <v>43065.19</v>
      </c>
      <c r="BP13" s="48">
        <v>21845.63</v>
      </c>
      <c r="BQ13" s="48">
        <v>11798.5</v>
      </c>
      <c r="BR13" s="48">
        <v>0</v>
      </c>
      <c r="BS13" s="48">
        <v>0</v>
      </c>
      <c r="BT13" s="48">
        <v>0</v>
      </c>
      <c r="BU13" s="48">
        <v>0</v>
      </c>
      <c r="BV13" s="48">
        <v>6373.75</v>
      </c>
      <c r="BW13" s="48">
        <v>0</v>
      </c>
      <c r="BX13" s="48">
        <v>0</v>
      </c>
      <c r="BY13" s="48">
        <v>1</v>
      </c>
      <c r="BZ13" s="48">
        <v>0</v>
      </c>
      <c r="CA13" s="453">
        <v>5762.5</v>
      </c>
      <c r="CB13" s="454"/>
      <c r="CC13" s="48">
        <v>0</v>
      </c>
      <c r="CD13" s="48">
        <v>-7011.19</v>
      </c>
      <c r="CE13" s="48">
        <v>0</v>
      </c>
      <c r="CF13" s="48">
        <v>-175796</v>
      </c>
      <c r="CG13" s="48">
        <v>0</v>
      </c>
      <c r="CH13" s="48">
        <v>14611</v>
      </c>
      <c r="CI13" s="48">
        <v>0</v>
      </c>
      <c r="CJ13" s="49">
        <v>0</v>
      </c>
      <c r="CK13" s="50">
        <f t="shared" si="0"/>
        <v>-175796</v>
      </c>
      <c r="CL13" s="50">
        <f t="shared" si="1"/>
        <v>14611</v>
      </c>
    </row>
    <row r="14" spans="1:90" ht="25.5">
      <c r="A14" s="48">
        <v>302</v>
      </c>
      <c r="B14" s="48">
        <v>2014</v>
      </c>
      <c r="C14" s="48" t="s">
        <v>48</v>
      </c>
      <c r="D14" s="48" t="s">
        <v>441</v>
      </c>
      <c r="E14" s="48"/>
      <c r="F14" s="48" t="s">
        <v>435</v>
      </c>
      <c r="G14" s="48">
        <v>0</v>
      </c>
      <c r="H14" s="48">
        <v>0</v>
      </c>
      <c r="I14" s="48" t="s">
        <v>436</v>
      </c>
      <c r="J14" s="48" t="s">
        <v>437</v>
      </c>
      <c r="K14" s="48" t="s">
        <v>438</v>
      </c>
      <c r="L14" s="48" t="s">
        <v>439</v>
      </c>
      <c r="M14" s="48" t="s">
        <v>438</v>
      </c>
      <c r="N14" s="48" t="s">
        <v>440</v>
      </c>
      <c r="O14" s="48" t="s">
        <v>181</v>
      </c>
      <c r="P14" s="48" t="s">
        <v>181</v>
      </c>
      <c r="Q14" s="48">
        <v>398585.3</v>
      </c>
      <c r="R14" s="48">
        <v>0</v>
      </c>
      <c r="S14" s="48">
        <v>0</v>
      </c>
      <c r="T14" s="48">
        <v>3398279.37</v>
      </c>
      <c r="U14" s="48">
        <v>0</v>
      </c>
      <c r="V14" s="48">
        <v>252547.7</v>
      </c>
      <c r="W14" s="48">
        <v>0</v>
      </c>
      <c r="X14" s="48">
        <v>280760.07</v>
      </c>
      <c r="Y14" s="48">
        <v>0</v>
      </c>
      <c r="Z14" s="48">
        <v>10735.15</v>
      </c>
      <c r="AA14" s="48">
        <v>56660.32</v>
      </c>
      <c r="AB14" s="48">
        <v>120929.02</v>
      </c>
      <c r="AC14" s="48">
        <v>38523.32</v>
      </c>
      <c r="AD14" s="48">
        <v>0</v>
      </c>
      <c r="AE14" s="48">
        <v>0</v>
      </c>
      <c r="AF14" s="48">
        <v>22197.91</v>
      </c>
      <c r="AG14" s="48">
        <v>2721.34</v>
      </c>
      <c r="AH14" s="48">
        <v>0</v>
      </c>
      <c r="AI14" s="48">
        <v>0</v>
      </c>
      <c r="AJ14" s="48">
        <v>0</v>
      </c>
      <c r="AK14" s="48">
        <v>0</v>
      </c>
      <c r="AL14" s="48">
        <v>1200</v>
      </c>
      <c r="AM14" s="48">
        <v>50791</v>
      </c>
      <c r="AN14" s="48">
        <v>98350.17</v>
      </c>
      <c r="AO14" s="48">
        <v>1926783.73</v>
      </c>
      <c r="AP14" s="48">
        <v>0</v>
      </c>
      <c r="AQ14" s="48">
        <v>949007.34</v>
      </c>
      <c r="AR14" s="48">
        <v>125121.41</v>
      </c>
      <c r="AS14" s="48">
        <v>158500.31</v>
      </c>
      <c r="AT14" s="48">
        <v>0</v>
      </c>
      <c r="AU14" s="48">
        <v>75347.09</v>
      </c>
      <c r="AV14" s="48">
        <v>22155.759999999998</v>
      </c>
      <c r="AW14" s="48">
        <v>10858.02</v>
      </c>
      <c r="AX14" s="48">
        <v>1029.92</v>
      </c>
      <c r="AY14" s="48">
        <v>1913</v>
      </c>
      <c r="AZ14" s="48">
        <v>115184.1</v>
      </c>
      <c r="BA14" s="48">
        <v>1512.8</v>
      </c>
      <c r="BB14" s="48">
        <v>35871.410000000003</v>
      </c>
      <c r="BC14" s="48">
        <v>11894.77</v>
      </c>
      <c r="BD14" s="48">
        <v>58950.67</v>
      </c>
      <c r="BE14" s="48">
        <v>110124</v>
      </c>
      <c r="BF14" s="48">
        <v>20015.89</v>
      </c>
      <c r="BG14" s="48">
        <v>90884.89</v>
      </c>
      <c r="BH14" s="48">
        <v>30332.74</v>
      </c>
      <c r="BI14" s="48">
        <v>0</v>
      </c>
      <c r="BJ14" s="48">
        <v>56439.47</v>
      </c>
      <c r="BK14" s="48">
        <v>18314.16</v>
      </c>
      <c r="BL14" s="48">
        <v>14024.19</v>
      </c>
      <c r="BM14" s="48">
        <v>164113.45000000001</v>
      </c>
      <c r="BN14" s="48">
        <v>61831</v>
      </c>
      <c r="BO14" s="48">
        <v>236133.4</v>
      </c>
      <c r="BP14" s="48">
        <v>76981.929999999993</v>
      </c>
      <c r="BQ14" s="48">
        <v>0</v>
      </c>
      <c r="BR14" s="48">
        <v>0</v>
      </c>
      <c r="BS14" s="48">
        <v>12947</v>
      </c>
      <c r="BT14" s="48">
        <v>0</v>
      </c>
      <c r="BU14" s="48">
        <v>0</v>
      </c>
      <c r="BV14" s="48">
        <v>34938</v>
      </c>
      <c r="BW14" s="48">
        <v>2742</v>
      </c>
      <c r="BX14" s="48">
        <v>12947</v>
      </c>
      <c r="BY14" s="48">
        <v>1</v>
      </c>
      <c r="BZ14" s="48">
        <v>0</v>
      </c>
      <c r="CA14" s="453">
        <v>16253.55</v>
      </c>
      <c r="CB14" s="454"/>
      <c r="CC14" s="48">
        <v>0</v>
      </c>
      <c r="CD14" s="48">
        <v>0</v>
      </c>
      <c r="CE14" s="48">
        <v>0</v>
      </c>
      <c r="CF14" s="48">
        <v>346008</v>
      </c>
      <c r="CG14" s="48">
        <v>34373</v>
      </c>
      <c r="CH14" s="48">
        <v>0</v>
      </c>
      <c r="CI14" s="48">
        <v>0</v>
      </c>
      <c r="CJ14" s="49">
        <v>0</v>
      </c>
      <c r="CK14" s="50">
        <f t="shared" si="0"/>
        <v>346008</v>
      </c>
      <c r="CL14" s="50">
        <f t="shared" si="1"/>
        <v>34373</v>
      </c>
    </row>
    <row r="15" spans="1:90" ht="25.5">
      <c r="A15" s="48">
        <v>302</v>
      </c>
      <c r="B15" s="48">
        <v>2015</v>
      </c>
      <c r="C15" s="48" t="s">
        <v>49</v>
      </c>
      <c r="D15" s="48" t="s">
        <v>441</v>
      </c>
      <c r="E15" s="48"/>
      <c r="F15" s="48" t="s">
        <v>435</v>
      </c>
      <c r="G15" s="48">
        <v>0</v>
      </c>
      <c r="H15" s="48">
        <v>1</v>
      </c>
      <c r="I15" s="48" t="s">
        <v>436</v>
      </c>
      <c r="J15" s="48" t="s">
        <v>437</v>
      </c>
      <c r="K15" s="48" t="s">
        <v>438</v>
      </c>
      <c r="L15" s="48" t="s">
        <v>439</v>
      </c>
      <c r="M15" s="48" t="s">
        <v>438</v>
      </c>
      <c r="N15" s="48" t="s">
        <v>440</v>
      </c>
      <c r="O15" s="48" t="s">
        <v>181</v>
      </c>
      <c r="P15" s="48" t="s">
        <v>181</v>
      </c>
      <c r="Q15" s="48">
        <v>387369.8</v>
      </c>
      <c r="R15" s="48">
        <v>126692.68</v>
      </c>
      <c r="S15" s="48">
        <v>11221</v>
      </c>
      <c r="T15" s="48">
        <v>1405782.64</v>
      </c>
      <c r="U15" s="48">
        <v>0</v>
      </c>
      <c r="V15" s="48">
        <v>312905.7</v>
      </c>
      <c r="W15" s="48">
        <v>0</v>
      </c>
      <c r="X15" s="48">
        <v>100530.06</v>
      </c>
      <c r="Y15" s="48">
        <v>0</v>
      </c>
      <c r="Z15" s="48">
        <v>974</v>
      </c>
      <c r="AA15" s="48">
        <v>24590.880000000001</v>
      </c>
      <c r="AB15" s="48">
        <v>7536.4</v>
      </c>
      <c r="AC15" s="48">
        <v>16942.07</v>
      </c>
      <c r="AD15" s="48">
        <v>3872</v>
      </c>
      <c r="AE15" s="48">
        <v>6072</v>
      </c>
      <c r="AF15" s="48">
        <v>17300.98</v>
      </c>
      <c r="AG15" s="48">
        <v>6811.3</v>
      </c>
      <c r="AH15" s="48">
        <v>0</v>
      </c>
      <c r="AI15" s="48">
        <v>197079</v>
      </c>
      <c r="AJ15" s="48">
        <v>-12805.47</v>
      </c>
      <c r="AK15" s="48">
        <v>0</v>
      </c>
      <c r="AL15" s="48">
        <v>0</v>
      </c>
      <c r="AM15" s="48">
        <v>0</v>
      </c>
      <c r="AN15" s="48">
        <v>61873.95</v>
      </c>
      <c r="AO15" s="48">
        <v>792840.78</v>
      </c>
      <c r="AP15" s="48">
        <v>0</v>
      </c>
      <c r="AQ15" s="48">
        <v>494228.47999999998</v>
      </c>
      <c r="AR15" s="48">
        <v>35673.120000000003</v>
      </c>
      <c r="AS15" s="48">
        <v>99349.71</v>
      </c>
      <c r="AT15" s="48">
        <v>36270.53</v>
      </c>
      <c r="AU15" s="48">
        <v>8915.1299999999992</v>
      </c>
      <c r="AV15" s="48">
        <v>35812.35</v>
      </c>
      <c r="AW15" s="48">
        <v>10159.459999999999</v>
      </c>
      <c r="AX15" s="48">
        <v>10768.25</v>
      </c>
      <c r="AY15" s="48">
        <v>0</v>
      </c>
      <c r="AZ15" s="48">
        <v>34697.5</v>
      </c>
      <c r="BA15" s="48">
        <v>7105.08</v>
      </c>
      <c r="BB15" s="48">
        <v>27541.759999999998</v>
      </c>
      <c r="BC15" s="48">
        <v>4687.7</v>
      </c>
      <c r="BD15" s="48">
        <v>18315.400000000001</v>
      </c>
      <c r="BE15" s="48">
        <v>38570</v>
      </c>
      <c r="BF15" s="48">
        <v>8817.2800000000007</v>
      </c>
      <c r="BG15" s="48">
        <v>94758.46</v>
      </c>
      <c r="BH15" s="48">
        <v>27453</v>
      </c>
      <c r="BI15" s="48">
        <v>0</v>
      </c>
      <c r="BJ15" s="48">
        <v>19548.7</v>
      </c>
      <c r="BK15" s="48">
        <v>6593.7</v>
      </c>
      <c r="BL15" s="48">
        <v>754.49</v>
      </c>
      <c r="BM15" s="48">
        <v>50972.76</v>
      </c>
      <c r="BN15" s="48">
        <v>103084.5</v>
      </c>
      <c r="BO15" s="48">
        <v>114045.43</v>
      </c>
      <c r="BP15" s="48">
        <v>31213.67</v>
      </c>
      <c r="BQ15" s="48">
        <v>8438</v>
      </c>
      <c r="BR15" s="48">
        <v>0</v>
      </c>
      <c r="BS15" s="48">
        <v>0</v>
      </c>
      <c r="BT15" s="48">
        <v>104757.58</v>
      </c>
      <c r="BU15" s="48">
        <v>50013.55</v>
      </c>
      <c r="BV15" s="48">
        <v>6740.5</v>
      </c>
      <c r="BW15" s="48">
        <v>0</v>
      </c>
      <c r="BX15" s="48">
        <v>0</v>
      </c>
      <c r="BY15" s="48">
        <v>1</v>
      </c>
      <c r="BZ15" s="48">
        <v>0</v>
      </c>
      <c r="CA15" s="453">
        <v>0</v>
      </c>
      <c r="CB15" s="454"/>
      <c r="CC15" s="48">
        <v>0</v>
      </c>
      <c r="CD15" s="48">
        <v>0</v>
      </c>
      <c r="CE15" s="48">
        <v>13094</v>
      </c>
      <c r="CF15" s="48">
        <v>218853</v>
      </c>
      <c r="CG15" s="48">
        <v>17962</v>
      </c>
      <c r="CH15" s="48">
        <v>0</v>
      </c>
      <c r="CI15" s="48">
        <v>156195</v>
      </c>
      <c r="CJ15" s="49">
        <v>0</v>
      </c>
      <c r="CK15" s="50">
        <f t="shared" si="0"/>
        <v>388142</v>
      </c>
      <c r="CL15" s="50">
        <f t="shared" si="1"/>
        <v>17962</v>
      </c>
    </row>
    <row r="16" spans="1:90" ht="25.5">
      <c r="A16" s="48">
        <v>302</v>
      </c>
      <c r="B16" s="48">
        <v>2016</v>
      </c>
      <c r="C16" s="48" t="s">
        <v>50</v>
      </c>
      <c r="D16" s="48" t="s">
        <v>441</v>
      </c>
      <c r="E16" s="48"/>
      <c r="F16" s="48" t="s">
        <v>435</v>
      </c>
      <c r="G16" s="48">
        <v>0</v>
      </c>
      <c r="H16" s="48">
        <v>0</v>
      </c>
      <c r="I16" s="48" t="s">
        <v>436</v>
      </c>
      <c r="J16" s="48" t="s">
        <v>437</v>
      </c>
      <c r="K16" s="48" t="s">
        <v>438</v>
      </c>
      <c r="L16" s="48" t="s">
        <v>439</v>
      </c>
      <c r="M16" s="48" t="s">
        <v>438</v>
      </c>
      <c r="N16" s="48" t="s">
        <v>440</v>
      </c>
      <c r="O16" s="48" t="s">
        <v>181</v>
      </c>
      <c r="P16" s="48" t="s">
        <v>181</v>
      </c>
      <c r="Q16" s="48">
        <v>112398.44</v>
      </c>
      <c r="R16" s="48">
        <v>0</v>
      </c>
      <c r="S16" s="48">
        <v>10343.34</v>
      </c>
      <c r="T16" s="48">
        <v>1003027</v>
      </c>
      <c r="U16" s="48">
        <v>0</v>
      </c>
      <c r="V16" s="48">
        <v>54181</v>
      </c>
      <c r="W16" s="48">
        <v>0</v>
      </c>
      <c r="X16" s="48">
        <v>33869</v>
      </c>
      <c r="Y16" s="48">
        <v>7500</v>
      </c>
      <c r="Z16" s="48">
        <v>223</v>
      </c>
      <c r="AA16" s="48">
        <v>1090</v>
      </c>
      <c r="AB16" s="48">
        <v>1696.3</v>
      </c>
      <c r="AC16" s="48">
        <v>10481.4</v>
      </c>
      <c r="AD16" s="48">
        <v>0</v>
      </c>
      <c r="AE16" s="48">
        <v>0</v>
      </c>
      <c r="AF16" s="48">
        <v>20852.05</v>
      </c>
      <c r="AG16" s="48">
        <v>13500.73</v>
      </c>
      <c r="AH16" s="48">
        <v>0</v>
      </c>
      <c r="AI16" s="48">
        <v>0</v>
      </c>
      <c r="AJ16" s="48">
        <v>0</v>
      </c>
      <c r="AK16" s="48">
        <v>0</v>
      </c>
      <c r="AL16" s="48">
        <v>0</v>
      </c>
      <c r="AM16" s="48">
        <v>19178.52</v>
      </c>
      <c r="AN16" s="48">
        <v>42813</v>
      </c>
      <c r="AO16" s="48">
        <v>559684.68999999994</v>
      </c>
      <c r="AP16" s="48">
        <v>6989</v>
      </c>
      <c r="AQ16" s="48">
        <v>210894.1</v>
      </c>
      <c r="AR16" s="48">
        <v>34025.79</v>
      </c>
      <c r="AS16" s="48">
        <v>62212.07</v>
      </c>
      <c r="AT16" s="48">
        <v>0</v>
      </c>
      <c r="AU16" s="48">
        <v>16994.68</v>
      </c>
      <c r="AV16" s="48">
        <v>5737.18</v>
      </c>
      <c r="AW16" s="48">
        <v>950</v>
      </c>
      <c r="AX16" s="48">
        <v>344.4</v>
      </c>
      <c r="AY16" s="48">
        <v>0</v>
      </c>
      <c r="AZ16" s="48">
        <v>16095.56</v>
      </c>
      <c r="BA16" s="48">
        <v>5811.75</v>
      </c>
      <c r="BB16" s="48">
        <v>19779.2</v>
      </c>
      <c r="BC16" s="48">
        <v>1895.39</v>
      </c>
      <c r="BD16" s="48">
        <v>12566</v>
      </c>
      <c r="BE16" s="48">
        <v>21565</v>
      </c>
      <c r="BF16" s="48">
        <v>6137.17</v>
      </c>
      <c r="BG16" s="48">
        <v>50828.22</v>
      </c>
      <c r="BH16" s="48">
        <v>7158.62</v>
      </c>
      <c r="BI16" s="48">
        <v>0</v>
      </c>
      <c r="BJ16" s="48">
        <v>8990.11</v>
      </c>
      <c r="BK16" s="48">
        <v>5833.7</v>
      </c>
      <c r="BL16" s="48">
        <v>1200</v>
      </c>
      <c r="BM16" s="48">
        <v>47318.91</v>
      </c>
      <c r="BN16" s="48">
        <v>5794.88</v>
      </c>
      <c r="BO16" s="48">
        <v>84507.78</v>
      </c>
      <c r="BP16" s="48">
        <v>19747.82</v>
      </c>
      <c r="BQ16" s="48">
        <v>0</v>
      </c>
      <c r="BR16" s="48">
        <v>0</v>
      </c>
      <c r="BS16" s="48">
        <v>0</v>
      </c>
      <c r="BT16" s="48">
        <v>0</v>
      </c>
      <c r="BU16" s="48">
        <v>0</v>
      </c>
      <c r="BV16" s="48">
        <v>6374</v>
      </c>
      <c r="BW16" s="48">
        <v>0</v>
      </c>
      <c r="BX16" s="48">
        <v>0</v>
      </c>
      <c r="BY16" s="48">
        <v>1</v>
      </c>
      <c r="BZ16" s="48">
        <v>0</v>
      </c>
      <c r="CA16" s="453">
        <v>0</v>
      </c>
      <c r="CB16" s="454"/>
      <c r="CC16" s="48">
        <v>0</v>
      </c>
      <c r="CD16" s="48">
        <v>13349</v>
      </c>
      <c r="CE16" s="48">
        <v>25576</v>
      </c>
      <c r="CF16" s="48">
        <v>82172</v>
      </c>
      <c r="CG16" s="48">
        <v>3368</v>
      </c>
      <c r="CH16" s="48">
        <v>0</v>
      </c>
      <c r="CI16" s="48">
        <v>0</v>
      </c>
      <c r="CJ16" s="49">
        <v>0</v>
      </c>
      <c r="CK16" s="50">
        <f t="shared" si="0"/>
        <v>107748</v>
      </c>
      <c r="CL16" s="50">
        <f t="shared" si="1"/>
        <v>3368</v>
      </c>
    </row>
    <row r="17" spans="1:90" ht="25.5">
      <c r="A17" s="48">
        <v>302</v>
      </c>
      <c r="B17" s="48">
        <v>2017</v>
      </c>
      <c r="C17" s="48" t="s">
        <v>51</v>
      </c>
      <c r="D17" s="48" t="s">
        <v>441</v>
      </c>
      <c r="E17" s="48"/>
      <c r="F17" s="48" t="s">
        <v>435</v>
      </c>
      <c r="G17" s="48">
        <v>0</v>
      </c>
      <c r="H17" s="48">
        <v>1</v>
      </c>
      <c r="I17" s="48" t="s">
        <v>436</v>
      </c>
      <c r="J17" s="48" t="s">
        <v>437</v>
      </c>
      <c r="K17" s="48" t="s">
        <v>438</v>
      </c>
      <c r="L17" s="48" t="s">
        <v>439</v>
      </c>
      <c r="M17" s="48" t="s">
        <v>438</v>
      </c>
      <c r="N17" s="48" t="s">
        <v>440</v>
      </c>
      <c r="O17" s="48" t="s">
        <v>181</v>
      </c>
      <c r="P17" s="48" t="s">
        <v>181</v>
      </c>
      <c r="Q17" s="48">
        <v>117145.37</v>
      </c>
      <c r="R17" s="48">
        <v>0</v>
      </c>
      <c r="S17" s="48">
        <v>107559.5</v>
      </c>
      <c r="T17" s="48">
        <v>1892962</v>
      </c>
      <c r="U17" s="48">
        <v>0</v>
      </c>
      <c r="V17" s="48">
        <v>72307</v>
      </c>
      <c r="W17" s="48">
        <v>0</v>
      </c>
      <c r="X17" s="48">
        <v>134447</v>
      </c>
      <c r="Y17" s="48">
        <v>2000</v>
      </c>
      <c r="Z17" s="48">
        <v>56</v>
      </c>
      <c r="AA17" s="48">
        <v>14515</v>
      </c>
      <c r="AB17" s="48">
        <v>38892</v>
      </c>
      <c r="AC17" s="48">
        <v>24018</v>
      </c>
      <c r="AD17" s="48">
        <v>4720</v>
      </c>
      <c r="AE17" s="48">
        <v>917</v>
      </c>
      <c r="AF17" s="48">
        <v>8314</v>
      </c>
      <c r="AG17" s="48">
        <v>22840</v>
      </c>
      <c r="AH17" s="48">
        <v>0</v>
      </c>
      <c r="AI17" s="48">
        <v>0</v>
      </c>
      <c r="AJ17" s="48">
        <v>0</v>
      </c>
      <c r="AK17" s="48">
        <v>-6615</v>
      </c>
      <c r="AL17" s="48">
        <v>0</v>
      </c>
      <c r="AM17" s="48">
        <v>0</v>
      </c>
      <c r="AN17" s="48">
        <v>105045</v>
      </c>
      <c r="AO17" s="48">
        <v>1160485</v>
      </c>
      <c r="AP17" s="48">
        <v>0</v>
      </c>
      <c r="AQ17" s="48">
        <v>463885</v>
      </c>
      <c r="AR17" s="48">
        <v>35456</v>
      </c>
      <c r="AS17" s="48">
        <v>77678</v>
      </c>
      <c r="AT17" s="48">
        <v>0</v>
      </c>
      <c r="AU17" s="48">
        <v>70219</v>
      </c>
      <c r="AV17" s="48">
        <v>10769</v>
      </c>
      <c r="AW17" s="48">
        <v>4350</v>
      </c>
      <c r="AX17" s="48">
        <v>12781</v>
      </c>
      <c r="AY17" s="48">
        <v>0</v>
      </c>
      <c r="AZ17" s="48">
        <v>12210</v>
      </c>
      <c r="BA17" s="48">
        <v>4599</v>
      </c>
      <c r="BB17" s="48">
        <v>33202</v>
      </c>
      <c r="BC17" s="48">
        <v>7538</v>
      </c>
      <c r="BD17" s="48">
        <v>34969</v>
      </c>
      <c r="BE17" s="48">
        <v>38836</v>
      </c>
      <c r="BF17" s="48">
        <v>11301</v>
      </c>
      <c r="BG17" s="48">
        <v>29485</v>
      </c>
      <c r="BH17" s="48">
        <v>17116</v>
      </c>
      <c r="BI17" s="48">
        <v>0</v>
      </c>
      <c r="BJ17" s="48">
        <v>16902</v>
      </c>
      <c r="BK17" s="48">
        <v>12544</v>
      </c>
      <c r="BL17" s="48">
        <v>3352</v>
      </c>
      <c r="BM17" s="48">
        <v>86619</v>
      </c>
      <c r="BN17" s="48">
        <v>41569</v>
      </c>
      <c r="BO17" s="48">
        <v>60200</v>
      </c>
      <c r="BP17" s="48">
        <v>50595</v>
      </c>
      <c r="BQ17" s="48">
        <v>0</v>
      </c>
      <c r="BR17" s="48">
        <v>0</v>
      </c>
      <c r="BS17" s="48">
        <v>0</v>
      </c>
      <c r="BT17" s="48">
        <v>0</v>
      </c>
      <c r="BU17" s="48">
        <v>0</v>
      </c>
      <c r="BV17" s="48">
        <v>8781</v>
      </c>
      <c r="BW17" s="48">
        <v>0</v>
      </c>
      <c r="BX17" s="48">
        <v>0</v>
      </c>
      <c r="BY17" s="48">
        <v>1</v>
      </c>
      <c r="BZ17" s="48">
        <v>0</v>
      </c>
      <c r="CA17" s="453">
        <v>3000</v>
      </c>
      <c r="CB17" s="454"/>
      <c r="CC17" s="48">
        <v>0</v>
      </c>
      <c r="CD17" s="48">
        <v>1650</v>
      </c>
      <c r="CE17" s="48">
        <v>14378</v>
      </c>
      <c r="CF17" s="48">
        <v>120525</v>
      </c>
      <c r="CG17" s="48">
        <v>14690</v>
      </c>
      <c r="CH17" s="48">
        <v>97001</v>
      </c>
      <c r="CI17" s="48">
        <v>0</v>
      </c>
      <c r="CJ17" s="49">
        <v>0</v>
      </c>
      <c r="CK17" s="50">
        <f t="shared" si="0"/>
        <v>134903</v>
      </c>
      <c r="CL17" s="50">
        <f t="shared" si="1"/>
        <v>111691</v>
      </c>
    </row>
    <row r="18" spans="1:90" ht="25.5">
      <c r="A18" s="48">
        <v>302</v>
      </c>
      <c r="B18" s="48">
        <v>2019</v>
      </c>
      <c r="C18" s="48" t="s">
        <v>53</v>
      </c>
      <c r="D18" s="48" t="s">
        <v>441</v>
      </c>
      <c r="E18" s="48"/>
      <c r="F18" s="48" t="s">
        <v>435</v>
      </c>
      <c r="G18" s="48">
        <v>0</v>
      </c>
      <c r="H18" s="48">
        <v>1</v>
      </c>
      <c r="I18" s="48" t="s">
        <v>436</v>
      </c>
      <c r="J18" s="48" t="s">
        <v>437</v>
      </c>
      <c r="K18" s="48" t="s">
        <v>438</v>
      </c>
      <c r="L18" s="48" t="s">
        <v>439</v>
      </c>
      <c r="M18" s="48" t="s">
        <v>438</v>
      </c>
      <c r="N18" s="48" t="s">
        <v>440</v>
      </c>
      <c r="O18" s="48" t="s">
        <v>181</v>
      </c>
      <c r="P18" s="48" t="s">
        <v>181</v>
      </c>
      <c r="Q18" s="48">
        <v>182562.04</v>
      </c>
      <c r="R18" s="48">
        <v>0</v>
      </c>
      <c r="S18" s="48">
        <v>6636.12</v>
      </c>
      <c r="T18" s="48">
        <v>1291683.52</v>
      </c>
      <c r="U18" s="48">
        <v>0</v>
      </c>
      <c r="V18" s="48">
        <v>102952.22</v>
      </c>
      <c r="W18" s="48">
        <v>0</v>
      </c>
      <c r="X18" s="48">
        <v>52455.03</v>
      </c>
      <c r="Y18" s="48">
        <v>9359.7800000000007</v>
      </c>
      <c r="Z18" s="48">
        <v>0</v>
      </c>
      <c r="AA18" s="48">
        <v>50</v>
      </c>
      <c r="AB18" s="48">
        <v>39018.769999999997</v>
      </c>
      <c r="AC18" s="48">
        <v>32.46</v>
      </c>
      <c r="AD18" s="48">
        <v>0</v>
      </c>
      <c r="AE18" s="48">
        <v>0</v>
      </c>
      <c r="AF18" s="48">
        <v>3613.5</v>
      </c>
      <c r="AG18" s="48">
        <v>4856.6099999999997</v>
      </c>
      <c r="AH18" s="48">
        <v>0</v>
      </c>
      <c r="AI18" s="48">
        <v>0</v>
      </c>
      <c r="AJ18" s="48">
        <v>0</v>
      </c>
      <c r="AK18" s="48">
        <v>0</v>
      </c>
      <c r="AL18" s="48">
        <v>7100</v>
      </c>
      <c r="AM18" s="48">
        <v>4835.62</v>
      </c>
      <c r="AN18" s="48">
        <v>85030.5</v>
      </c>
      <c r="AO18" s="48">
        <v>770481.99</v>
      </c>
      <c r="AP18" s="48">
        <v>13473.96</v>
      </c>
      <c r="AQ18" s="48">
        <v>466358.15</v>
      </c>
      <c r="AR18" s="48">
        <v>42952.83</v>
      </c>
      <c r="AS18" s="48">
        <v>83295.42</v>
      </c>
      <c r="AT18" s="48">
        <v>0</v>
      </c>
      <c r="AU18" s="48">
        <v>54775.18</v>
      </c>
      <c r="AV18" s="48">
        <v>7175.91</v>
      </c>
      <c r="AW18" s="48">
        <v>1286.25</v>
      </c>
      <c r="AX18" s="48">
        <v>349.32</v>
      </c>
      <c r="AY18" s="48">
        <v>0</v>
      </c>
      <c r="AZ18" s="48">
        <v>12941.46</v>
      </c>
      <c r="BA18" s="48">
        <v>8578.0400000000009</v>
      </c>
      <c r="BB18" s="48">
        <v>1598.49</v>
      </c>
      <c r="BC18" s="48">
        <v>10096.42</v>
      </c>
      <c r="BD18" s="48">
        <v>23646.7</v>
      </c>
      <c r="BE18" s="48">
        <v>17589.75</v>
      </c>
      <c r="BF18" s="48">
        <v>6562.99</v>
      </c>
      <c r="BG18" s="48">
        <v>12454.15</v>
      </c>
      <c r="BH18" s="48">
        <v>13599.69</v>
      </c>
      <c r="BI18" s="48">
        <v>0</v>
      </c>
      <c r="BJ18" s="48">
        <v>11810.62</v>
      </c>
      <c r="BK18" s="48">
        <v>6791.31</v>
      </c>
      <c r="BL18" s="48">
        <v>1773.48</v>
      </c>
      <c r="BM18" s="48">
        <v>74852.78</v>
      </c>
      <c r="BN18" s="48">
        <v>64836.85</v>
      </c>
      <c r="BO18" s="48">
        <v>92726.55</v>
      </c>
      <c r="BP18" s="48">
        <v>29713.759999999998</v>
      </c>
      <c r="BQ18" s="48">
        <v>0</v>
      </c>
      <c r="BR18" s="48">
        <v>0</v>
      </c>
      <c r="BS18" s="48">
        <v>0</v>
      </c>
      <c r="BT18" s="48">
        <v>0</v>
      </c>
      <c r="BU18" s="48">
        <v>0</v>
      </c>
      <c r="BV18" s="48">
        <v>7019.5</v>
      </c>
      <c r="BW18" s="48">
        <v>0</v>
      </c>
      <c r="BX18" s="48">
        <v>0</v>
      </c>
      <c r="BY18" s="48">
        <v>1</v>
      </c>
      <c r="BZ18" s="48">
        <v>0</v>
      </c>
      <c r="CA18" s="453">
        <v>0</v>
      </c>
      <c r="CB18" s="454"/>
      <c r="CC18" s="48">
        <v>0</v>
      </c>
      <c r="CD18" s="48">
        <v>8497.35</v>
      </c>
      <c r="CE18" s="48">
        <v>0</v>
      </c>
      <c r="CF18" s="48">
        <v>-46172</v>
      </c>
      <c r="CG18" s="48">
        <v>5158</v>
      </c>
      <c r="CH18" s="48">
        <v>0</v>
      </c>
      <c r="CI18" s="48">
        <v>0</v>
      </c>
      <c r="CJ18" s="49">
        <v>0</v>
      </c>
      <c r="CK18" s="50">
        <f t="shared" si="0"/>
        <v>-46172</v>
      </c>
      <c r="CL18" s="50">
        <f t="shared" si="1"/>
        <v>5158</v>
      </c>
    </row>
    <row r="19" spans="1:90" ht="25.5">
      <c r="A19" s="48">
        <v>302</v>
      </c>
      <c r="B19" s="48">
        <v>2021</v>
      </c>
      <c r="C19" s="48" t="s">
        <v>367</v>
      </c>
      <c r="D19" s="48" t="s">
        <v>441</v>
      </c>
      <c r="E19" s="48"/>
      <c r="F19" s="48" t="s">
        <v>435</v>
      </c>
      <c r="G19" s="48">
        <v>0</v>
      </c>
      <c r="H19" s="48">
        <v>0</v>
      </c>
      <c r="I19" s="48" t="s">
        <v>436</v>
      </c>
      <c r="J19" s="48" t="s">
        <v>437</v>
      </c>
      <c r="K19" s="48" t="s">
        <v>438</v>
      </c>
      <c r="L19" s="48" t="s">
        <v>439</v>
      </c>
      <c r="M19" s="48" t="s">
        <v>438</v>
      </c>
      <c r="N19" s="48" t="s">
        <v>440</v>
      </c>
      <c r="O19" s="48" t="s">
        <v>181</v>
      </c>
      <c r="P19" s="48" t="s">
        <v>181</v>
      </c>
      <c r="Q19" s="48">
        <v>160077.66</v>
      </c>
      <c r="R19" s="48">
        <v>0</v>
      </c>
      <c r="S19" s="48">
        <v>6512</v>
      </c>
      <c r="T19" s="48">
        <v>2555819.4500000002</v>
      </c>
      <c r="U19" s="48">
        <v>0</v>
      </c>
      <c r="V19" s="48">
        <v>81779.58</v>
      </c>
      <c r="W19" s="48">
        <v>0</v>
      </c>
      <c r="X19" s="48">
        <v>193900.03</v>
      </c>
      <c r="Y19" s="48">
        <v>4400</v>
      </c>
      <c r="Z19" s="48">
        <v>165470.82</v>
      </c>
      <c r="AA19" s="48">
        <v>51716</v>
      </c>
      <c r="AB19" s="48">
        <v>52253.24</v>
      </c>
      <c r="AC19" s="48">
        <v>32236.89</v>
      </c>
      <c r="AD19" s="48">
        <v>0</v>
      </c>
      <c r="AE19" s="48">
        <v>0</v>
      </c>
      <c r="AF19" s="48">
        <v>0</v>
      </c>
      <c r="AG19" s="48">
        <v>7783.17</v>
      </c>
      <c r="AH19" s="48">
        <v>0</v>
      </c>
      <c r="AI19" s="48">
        <v>0</v>
      </c>
      <c r="AJ19" s="48">
        <v>0</v>
      </c>
      <c r="AK19" s="48">
        <v>0</v>
      </c>
      <c r="AL19" s="48">
        <v>0</v>
      </c>
      <c r="AM19" s="48">
        <v>34177.5</v>
      </c>
      <c r="AN19" s="48">
        <v>63282.33</v>
      </c>
      <c r="AO19" s="48">
        <v>1214248.45</v>
      </c>
      <c r="AP19" s="48">
        <v>0</v>
      </c>
      <c r="AQ19" s="48">
        <v>689859.28</v>
      </c>
      <c r="AR19" s="48">
        <v>79010.16</v>
      </c>
      <c r="AS19" s="48">
        <v>187584.27</v>
      </c>
      <c r="AT19" s="48">
        <v>0</v>
      </c>
      <c r="AU19" s="48">
        <v>33210.26</v>
      </c>
      <c r="AV19" s="48">
        <v>56518</v>
      </c>
      <c r="AW19" s="48">
        <v>9141.01</v>
      </c>
      <c r="AX19" s="48">
        <v>726.52</v>
      </c>
      <c r="AY19" s="48">
        <v>2146.96</v>
      </c>
      <c r="AZ19" s="48">
        <v>43748.43</v>
      </c>
      <c r="BA19" s="48">
        <v>11693.47</v>
      </c>
      <c r="BB19" s="48">
        <v>51459.09</v>
      </c>
      <c r="BC19" s="48">
        <v>9311.58</v>
      </c>
      <c r="BD19" s="48">
        <v>67875.740000000005</v>
      </c>
      <c r="BE19" s="48">
        <v>58112</v>
      </c>
      <c r="BF19" s="48">
        <v>32145.71</v>
      </c>
      <c r="BG19" s="48">
        <v>93675.25</v>
      </c>
      <c r="BH19" s="48">
        <v>20851.509999999998</v>
      </c>
      <c r="BI19" s="48">
        <v>0</v>
      </c>
      <c r="BJ19" s="48">
        <v>30196.57</v>
      </c>
      <c r="BK19" s="48">
        <v>13753.45</v>
      </c>
      <c r="BL19" s="48">
        <v>1313.25</v>
      </c>
      <c r="BM19" s="48">
        <v>120819.26</v>
      </c>
      <c r="BN19" s="48">
        <v>133203.68</v>
      </c>
      <c r="BO19" s="48">
        <v>145755.70000000001</v>
      </c>
      <c r="BP19" s="48">
        <v>39189.31</v>
      </c>
      <c r="BQ19" s="48">
        <v>0</v>
      </c>
      <c r="BR19" s="48">
        <v>0</v>
      </c>
      <c r="BS19" s="48">
        <v>0</v>
      </c>
      <c r="BT19" s="48">
        <v>0</v>
      </c>
      <c r="BU19" s="48">
        <v>0</v>
      </c>
      <c r="BV19" s="48">
        <v>10077</v>
      </c>
      <c r="BW19" s="48">
        <v>30000</v>
      </c>
      <c r="BX19" s="48">
        <v>0</v>
      </c>
      <c r="BY19" s="48">
        <v>1</v>
      </c>
      <c r="BZ19" s="48">
        <v>0</v>
      </c>
      <c r="CA19" s="453">
        <v>0</v>
      </c>
      <c r="CB19" s="454"/>
      <c r="CC19" s="48">
        <v>0</v>
      </c>
      <c r="CD19" s="48">
        <v>6010</v>
      </c>
      <c r="CE19" s="48">
        <v>50253</v>
      </c>
      <c r="CF19" s="48">
        <v>207095</v>
      </c>
      <c r="CG19" s="48">
        <v>10579</v>
      </c>
      <c r="CH19" s="48">
        <v>30000</v>
      </c>
      <c r="CI19" s="48">
        <v>0</v>
      </c>
      <c r="CJ19" s="49">
        <v>0</v>
      </c>
      <c r="CK19" s="50">
        <f t="shared" si="0"/>
        <v>257348</v>
      </c>
      <c r="CL19" s="50">
        <f t="shared" si="1"/>
        <v>40579</v>
      </c>
    </row>
    <row r="20" spans="1:90" ht="25.5">
      <c r="A20" s="48">
        <v>302</v>
      </c>
      <c r="B20" s="48">
        <v>2023</v>
      </c>
      <c r="C20" s="48" t="s">
        <v>444</v>
      </c>
      <c r="D20" s="48" t="s">
        <v>441</v>
      </c>
      <c r="E20" s="48"/>
      <c r="F20" s="48" t="s">
        <v>435</v>
      </c>
      <c r="G20" s="48">
        <v>0</v>
      </c>
      <c r="H20" s="48">
        <v>0</v>
      </c>
      <c r="I20" s="48" t="s">
        <v>436</v>
      </c>
      <c r="J20" s="48" t="s">
        <v>437</v>
      </c>
      <c r="K20" s="48" t="s">
        <v>438</v>
      </c>
      <c r="L20" s="48" t="s">
        <v>439</v>
      </c>
      <c r="M20" s="48" t="s">
        <v>438</v>
      </c>
      <c r="N20" s="48" t="s">
        <v>440</v>
      </c>
      <c r="O20" s="48" t="s">
        <v>181</v>
      </c>
      <c r="P20" s="48" t="s">
        <v>181</v>
      </c>
      <c r="Q20" s="48">
        <v>-46979.040000000001</v>
      </c>
      <c r="R20" s="48">
        <v>0</v>
      </c>
      <c r="S20" s="48">
        <v>0</v>
      </c>
      <c r="T20" s="48">
        <v>2613600.92</v>
      </c>
      <c r="U20" s="48">
        <v>0</v>
      </c>
      <c r="V20" s="48">
        <v>137386.9</v>
      </c>
      <c r="W20" s="48">
        <v>0</v>
      </c>
      <c r="X20" s="48">
        <v>266292.53999999998</v>
      </c>
      <c r="Y20" s="48">
        <v>48998.46</v>
      </c>
      <c r="Z20" s="48">
        <v>57311.59</v>
      </c>
      <c r="AA20" s="48">
        <v>180.81</v>
      </c>
      <c r="AB20" s="48">
        <v>6031.42</v>
      </c>
      <c r="AC20" s="48">
        <v>24709.32</v>
      </c>
      <c r="AD20" s="48">
        <v>0</v>
      </c>
      <c r="AE20" s="48">
        <v>0</v>
      </c>
      <c r="AF20" s="48">
        <v>12655.2</v>
      </c>
      <c r="AG20" s="48">
        <v>1378.15</v>
      </c>
      <c r="AH20" s="48">
        <v>0</v>
      </c>
      <c r="AI20" s="48">
        <v>0</v>
      </c>
      <c r="AJ20" s="48">
        <v>0</v>
      </c>
      <c r="AK20" s="48">
        <v>0</v>
      </c>
      <c r="AL20" s="48">
        <v>7123.25</v>
      </c>
      <c r="AM20" s="48">
        <v>30330.13</v>
      </c>
      <c r="AN20" s="48">
        <v>64265.71</v>
      </c>
      <c r="AO20" s="48">
        <v>1305618.43</v>
      </c>
      <c r="AP20" s="48">
        <v>0</v>
      </c>
      <c r="AQ20" s="48">
        <v>765701.9</v>
      </c>
      <c r="AR20" s="48">
        <v>30734.94</v>
      </c>
      <c r="AS20" s="48">
        <v>211816.88</v>
      </c>
      <c r="AT20" s="48">
        <v>0</v>
      </c>
      <c r="AU20" s="48">
        <v>43763.81</v>
      </c>
      <c r="AV20" s="48">
        <v>59496.82</v>
      </c>
      <c r="AW20" s="48">
        <v>13700.41</v>
      </c>
      <c r="AX20" s="48">
        <v>823.28</v>
      </c>
      <c r="AY20" s="48">
        <v>0</v>
      </c>
      <c r="AZ20" s="48">
        <v>55486.27</v>
      </c>
      <c r="BA20" s="48">
        <v>8410</v>
      </c>
      <c r="BB20" s="48">
        <v>59593.33</v>
      </c>
      <c r="BC20" s="48">
        <v>11379.76</v>
      </c>
      <c r="BD20" s="48">
        <v>34208.959999999999</v>
      </c>
      <c r="BE20" s="48">
        <v>23952</v>
      </c>
      <c r="BF20" s="48">
        <v>6584.04</v>
      </c>
      <c r="BG20" s="48">
        <v>84658.61</v>
      </c>
      <c r="BH20" s="48">
        <v>24285.11</v>
      </c>
      <c r="BI20" s="48">
        <v>0</v>
      </c>
      <c r="BJ20" s="48">
        <v>16043.29</v>
      </c>
      <c r="BK20" s="48">
        <v>14010.74</v>
      </c>
      <c r="BL20" s="48">
        <v>7368.25</v>
      </c>
      <c r="BM20" s="48">
        <v>133758.88</v>
      </c>
      <c r="BN20" s="48">
        <v>148717.69</v>
      </c>
      <c r="BO20" s="48">
        <v>34940.800000000003</v>
      </c>
      <c r="BP20" s="48">
        <v>41461.660000000003</v>
      </c>
      <c r="BQ20" s="48">
        <v>0</v>
      </c>
      <c r="BR20" s="48">
        <v>0</v>
      </c>
      <c r="BS20" s="48">
        <v>0</v>
      </c>
      <c r="BT20" s="48">
        <v>0</v>
      </c>
      <c r="BU20" s="48">
        <v>0</v>
      </c>
      <c r="BV20" s="48">
        <v>10414.75</v>
      </c>
      <c r="BW20" s="48">
        <v>0</v>
      </c>
      <c r="BX20" s="48">
        <v>0</v>
      </c>
      <c r="BY20" s="48">
        <v>1</v>
      </c>
      <c r="BZ20" s="48">
        <v>0</v>
      </c>
      <c r="CA20" s="453">
        <v>0</v>
      </c>
      <c r="CB20" s="454"/>
      <c r="CC20" s="48">
        <v>0</v>
      </c>
      <c r="CD20" s="48">
        <v>8573.49</v>
      </c>
      <c r="CE20" s="48">
        <v>530</v>
      </c>
      <c r="CF20" s="48">
        <v>86240</v>
      </c>
      <c r="CG20" s="48">
        <v>1841</v>
      </c>
      <c r="CH20" s="48">
        <v>0</v>
      </c>
      <c r="CI20" s="48">
        <v>0</v>
      </c>
      <c r="CJ20" s="49">
        <v>0</v>
      </c>
      <c r="CK20" s="50">
        <f t="shared" si="0"/>
        <v>86770</v>
      </c>
      <c r="CL20" s="50">
        <f t="shared" si="1"/>
        <v>1841</v>
      </c>
    </row>
    <row r="21" spans="1:90">
      <c r="A21" s="48">
        <v>302</v>
      </c>
      <c r="B21" s="48">
        <v>2024</v>
      </c>
      <c r="C21" s="48" t="s">
        <v>58</v>
      </c>
      <c r="D21" s="48" t="s">
        <v>441</v>
      </c>
      <c r="E21" s="48"/>
      <c r="F21" s="48" t="s">
        <v>435</v>
      </c>
      <c r="G21" s="48">
        <v>0</v>
      </c>
      <c r="H21" s="48">
        <v>2</v>
      </c>
      <c r="I21" s="48" t="s">
        <v>436</v>
      </c>
      <c r="J21" s="48" t="s">
        <v>437</v>
      </c>
      <c r="K21" s="48" t="s">
        <v>438</v>
      </c>
      <c r="L21" s="48" t="s">
        <v>439</v>
      </c>
      <c r="M21" s="48" t="s">
        <v>438</v>
      </c>
      <c r="N21" s="48" t="s">
        <v>440</v>
      </c>
      <c r="O21" s="48" t="s">
        <v>181</v>
      </c>
      <c r="P21" s="48" t="s">
        <v>181</v>
      </c>
      <c r="Q21" s="48">
        <v>53993.01</v>
      </c>
      <c r="R21" s="48">
        <v>307.13</v>
      </c>
      <c r="S21" s="48">
        <v>2587.66</v>
      </c>
      <c r="T21" s="48">
        <v>1301691.42</v>
      </c>
      <c r="U21" s="48">
        <v>0</v>
      </c>
      <c r="V21" s="48">
        <v>62796.87</v>
      </c>
      <c r="W21" s="48">
        <v>0</v>
      </c>
      <c r="X21" s="48">
        <v>91787.24</v>
      </c>
      <c r="Y21" s="48">
        <v>46635</v>
      </c>
      <c r="Z21" s="48">
        <v>12487.5</v>
      </c>
      <c r="AA21" s="48">
        <v>10855.97</v>
      </c>
      <c r="AB21" s="48">
        <v>89458.85</v>
      </c>
      <c r="AC21" s="48">
        <v>12362.57</v>
      </c>
      <c r="AD21" s="48">
        <v>0</v>
      </c>
      <c r="AE21" s="48">
        <v>0</v>
      </c>
      <c r="AF21" s="48">
        <v>10646.6</v>
      </c>
      <c r="AG21" s="48">
        <v>6599.79</v>
      </c>
      <c r="AH21" s="48">
        <v>0</v>
      </c>
      <c r="AI21" s="48">
        <v>180008</v>
      </c>
      <c r="AJ21" s="48">
        <v>1895</v>
      </c>
      <c r="AK21" s="48">
        <v>0</v>
      </c>
      <c r="AL21" s="48">
        <v>0</v>
      </c>
      <c r="AM21" s="48">
        <v>12840</v>
      </c>
      <c r="AN21" s="48">
        <v>39136</v>
      </c>
      <c r="AO21" s="48">
        <v>703686.9</v>
      </c>
      <c r="AP21" s="48">
        <v>0</v>
      </c>
      <c r="AQ21" s="48">
        <v>307544.18</v>
      </c>
      <c r="AR21" s="48">
        <v>19667.21</v>
      </c>
      <c r="AS21" s="48">
        <v>73125.009999999995</v>
      </c>
      <c r="AT21" s="48">
        <v>0</v>
      </c>
      <c r="AU21" s="48">
        <v>273542.37</v>
      </c>
      <c r="AV21" s="48">
        <v>11722.65</v>
      </c>
      <c r="AW21" s="48">
        <v>4201.93</v>
      </c>
      <c r="AX21" s="48">
        <v>323.08</v>
      </c>
      <c r="AY21" s="48">
        <v>0</v>
      </c>
      <c r="AZ21" s="48">
        <v>34830.800000000003</v>
      </c>
      <c r="BA21" s="48">
        <v>2984.02</v>
      </c>
      <c r="BB21" s="48">
        <v>36028.410000000003</v>
      </c>
      <c r="BC21" s="48">
        <v>-1725.86</v>
      </c>
      <c r="BD21" s="48">
        <v>26711.82</v>
      </c>
      <c r="BE21" s="48">
        <v>48944</v>
      </c>
      <c r="BF21" s="48">
        <v>7245.96</v>
      </c>
      <c r="BG21" s="48">
        <v>31513.01</v>
      </c>
      <c r="BH21" s="48">
        <v>22148.16</v>
      </c>
      <c r="BI21" s="48">
        <v>0</v>
      </c>
      <c r="BJ21" s="48">
        <v>10849.87</v>
      </c>
      <c r="BK21" s="48">
        <v>6624.39</v>
      </c>
      <c r="BL21" s="48">
        <v>5546.88</v>
      </c>
      <c r="BM21" s="48">
        <v>59360.14</v>
      </c>
      <c r="BN21" s="48">
        <v>23052.6</v>
      </c>
      <c r="BO21" s="48">
        <v>74201.39</v>
      </c>
      <c r="BP21" s="48">
        <v>41393.4</v>
      </c>
      <c r="BQ21" s="48">
        <v>0</v>
      </c>
      <c r="BR21" s="48">
        <v>0</v>
      </c>
      <c r="BS21" s="48">
        <v>0</v>
      </c>
      <c r="BT21" s="48">
        <v>157622.79</v>
      </c>
      <c r="BU21" s="48">
        <v>24280.21</v>
      </c>
      <c r="BV21" s="48">
        <v>6992</v>
      </c>
      <c r="BW21" s="48">
        <v>0</v>
      </c>
      <c r="BX21" s="48">
        <v>0</v>
      </c>
      <c r="BY21" s="48">
        <v>1</v>
      </c>
      <c r="BZ21" s="48">
        <v>0</v>
      </c>
      <c r="CA21" s="453">
        <v>0</v>
      </c>
      <c r="CB21" s="454"/>
      <c r="CC21" s="48">
        <v>6715</v>
      </c>
      <c r="CD21" s="48">
        <v>0</v>
      </c>
      <c r="CE21" s="48">
        <v>9100</v>
      </c>
      <c r="CF21" s="48">
        <v>-81331</v>
      </c>
      <c r="CG21" s="48">
        <v>2865</v>
      </c>
      <c r="CH21" s="48">
        <v>0</v>
      </c>
      <c r="CI21" s="48">
        <v>307</v>
      </c>
      <c r="CJ21" s="49">
        <v>0</v>
      </c>
      <c r="CK21" s="50">
        <f t="shared" si="0"/>
        <v>-71924</v>
      </c>
      <c r="CL21" s="50">
        <f t="shared" si="1"/>
        <v>2865</v>
      </c>
    </row>
    <row r="22" spans="1:90">
      <c r="A22" s="48">
        <v>302</v>
      </c>
      <c r="B22" s="48">
        <v>2025</v>
      </c>
      <c r="C22" s="48" t="s">
        <v>59</v>
      </c>
      <c r="D22" s="48" t="s">
        <v>441</v>
      </c>
      <c r="E22" s="48"/>
      <c r="F22" s="48" t="s">
        <v>435</v>
      </c>
      <c r="G22" s="48">
        <v>0</v>
      </c>
      <c r="H22" s="48">
        <v>0</v>
      </c>
      <c r="I22" s="48" t="s">
        <v>436</v>
      </c>
      <c r="J22" s="48" t="s">
        <v>437</v>
      </c>
      <c r="K22" s="48" t="s">
        <v>438</v>
      </c>
      <c r="L22" s="48" t="s">
        <v>439</v>
      </c>
      <c r="M22" s="48" t="s">
        <v>438</v>
      </c>
      <c r="N22" s="48" t="s">
        <v>440</v>
      </c>
      <c r="O22" s="48" t="s">
        <v>181</v>
      </c>
      <c r="P22" s="48" t="s">
        <v>181</v>
      </c>
      <c r="Q22" s="48">
        <v>127159.67</v>
      </c>
      <c r="R22" s="48">
        <v>0</v>
      </c>
      <c r="S22" s="48">
        <v>5832.93</v>
      </c>
      <c r="T22" s="48">
        <v>1366340.29</v>
      </c>
      <c r="U22" s="48">
        <v>0</v>
      </c>
      <c r="V22" s="48">
        <v>65925.179999999993</v>
      </c>
      <c r="W22" s="48">
        <v>0</v>
      </c>
      <c r="X22" s="48">
        <v>22394.97</v>
      </c>
      <c r="Y22" s="48">
        <v>2457</v>
      </c>
      <c r="Z22" s="48">
        <v>645</v>
      </c>
      <c r="AA22" s="48">
        <v>36511.050000000003</v>
      </c>
      <c r="AB22" s="48">
        <v>22787.95</v>
      </c>
      <c r="AC22" s="48">
        <v>27765.71</v>
      </c>
      <c r="AD22" s="48">
        <v>0</v>
      </c>
      <c r="AE22" s="48">
        <v>0</v>
      </c>
      <c r="AF22" s="48">
        <v>66255.899999999994</v>
      </c>
      <c r="AG22" s="48">
        <v>15300.86</v>
      </c>
      <c r="AH22" s="48">
        <v>0</v>
      </c>
      <c r="AI22" s="48">
        <v>0</v>
      </c>
      <c r="AJ22" s="48">
        <v>0</v>
      </c>
      <c r="AK22" s="48">
        <v>0</v>
      </c>
      <c r="AL22" s="48">
        <v>0</v>
      </c>
      <c r="AM22" s="48">
        <v>0</v>
      </c>
      <c r="AN22" s="48">
        <v>86766.44</v>
      </c>
      <c r="AO22" s="48">
        <v>884683.9</v>
      </c>
      <c r="AP22" s="48">
        <v>5732.19</v>
      </c>
      <c r="AQ22" s="48">
        <v>231508.65</v>
      </c>
      <c r="AR22" s="48">
        <v>75365.490000000005</v>
      </c>
      <c r="AS22" s="48">
        <v>63279.91</v>
      </c>
      <c r="AT22" s="48">
        <v>0</v>
      </c>
      <c r="AU22" s="48">
        <v>40264.14</v>
      </c>
      <c r="AV22" s="48">
        <v>448.3</v>
      </c>
      <c r="AW22" s="48">
        <v>2046.99</v>
      </c>
      <c r="AX22" s="48">
        <v>521.52</v>
      </c>
      <c r="AY22" s="48">
        <v>0</v>
      </c>
      <c r="AZ22" s="48">
        <v>4063.31</v>
      </c>
      <c r="BA22" s="48">
        <v>0</v>
      </c>
      <c r="BB22" s="48">
        <v>0</v>
      </c>
      <c r="BC22" s="48">
        <v>3582.43</v>
      </c>
      <c r="BD22" s="48">
        <v>28582.400000000001</v>
      </c>
      <c r="BE22" s="48">
        <v>34048</v>
      </c>
      <c r="BF22" s="48">
        <v>5257.97</v>
      </c>
      <c r="BG22" s="48">
        <v>97768.67</v>
      </c>
      <c r="BH22" s="48">
        <v>7769.87</v>
      </c>
      <c r="BI22" s="48">
        <v>0</v>
      </c>
      <c r="BJ22" s="48">
        <v>8872.33</v>
      </c>
      <c r="BK22" s="48">
        <v>8843.66</v>
      </c>
      <c r="BL22" s="48">
        <v>7653.92</v>
      </c>
      <c r="BM22" s="48">
        <v>74740.55</v>
      </c>
      <c r="BN22" s="48">
        <v>16215.71</v>
      </c>
      <c r="BO22" s="48">
        <v>66651.289999999994</v>
      </c>
      <c r="BP22" s="48">
        <v>29575.33</v>
      </c>
      <c r="BQ22" s="48">
        <v>0</v>
      </c>
      <c r="BR22" s="48">
        <v>0</v>
      </c>
      <c r="BS22" s="48">
        <v>0</v>
      </c>
      <c r="BT22" s="48">
        <v>0</v>
      </c>
      <c r="BU22" s="48">
        <v>0</v>
      </c>
      <c r="BV22" s="48">
        <v>7600</v>
      </c>
      <c r="BW22" s="48">
        <v>16427</v>
      </c>
      <c r="BX22" s="48">
        <v>0</v>
      </c>
      <c r="BY22" s="48">
        <v>1</v>
      </c>
      <c r="BZ22" s="48">
        <v>0</v>
      </c>
      <c r="CA22" s="453">
        <v>13211.13</v>
      </c>
      <c r="CB22" s="454"/>
      <c r="CC22" s="48">
        <v>0</v>
      </c>
      <c r="CD22" s="48">
        <v>7438</v>
      </c>
      <c r="CE22" s="48">
        <v>20819</v>
      </c>
      <c r="CF22" s="48">
        <v>122014</v>
      </c>
      <c r="CG22" s="48">
        <v>9211</v>
      </c>
      <c r="CH22" s="48">
        <v>0</v>
      </c>
      <c r="CI22" s="48">
        <v>0</v>
      </c>
      <c r="CJ22" s="49">
        <v>0</v>
      </c>
      <c r="CK22" s="50">
        <f t="shared" si="0"/>
        <v>142833</v>
      </c>
      <c r="CL22" s="50">
        <f t="shared" si="1"/>
        <v>9211</v>
      </c>
    </row>
    <row r="23" spans="1:90" ht="25.5">
      <c r="A23" s="48">
        <v>302</v>
      </c>
      <c r="B23" s="48">
        <v>2026</v>
      </c>
      <c r="C23" s="48" t="s">
        <v>60</v>
      </c>
      <c r="D23" s="48" t="s">
        <v>441</v>
      </c>
      <c r="E23" s="48"/>
      <c r="F23" s="48" t="s">
        <v>435</v>
      </c>
      <c r="G23" s="48">
        <v>0</v>
      </c>
      <c r="H23" s="48">
        <v>1</v>
      </c>
      <c r="I23" s="48" t="s">
        <v>436</v>
      </c>
      <c r="J23" s="48" t="s">
        <v>437</v>
      </c>
      <c r="K23" s="48" t="s">
        <v>438</v>
      </c>
      <c r="L23" s="48" t="s">
        <v>439</v>
      </c>
      <c r="M23" s="48" t="s">
        <v>438</v>
      </c>
      <c r="N23" s="48" t="s">
        <v>440</v>
      </c>
      <c r="O23" s="48" t="s">
        <v>181</v>
      </c>
      <c r="P23" s="48" t="s">
        <v>181</v>
      </c>
      <c r="Q23" s="48">
        <v>-77720.73</v>
      </c>
      <c r="R23" s="48">
        <v>0</v>
      </c>
      <c r="S23" s="48">
        <v>0</v>
      </c>
      <c r="T23" s="48">
        <v>2501537.29</v>
      </c>
      <c r="U23" s="48">
        <v>0</v>
      </c>
      <c r="V23" s="48">
        <v>63404.69</v>
      </c>
      <c r="W23" s="48">
        <v>0</v>
      </c>
      <c r="X23" s="48">
        <v>92805.03</v>
      </c>
      <c r="Y23" s="48">
        <v>0</v>
      </c>
      <c r="Z23" s="48">
        <v>4070</v>
      </c>
      <c r="AA23" s="48">
        <v>28631.99</v>
      </c>
      <c r="AB23" s="48">
        <v>117179.03</v>
      </c>
      <c r="AC23" s="48">
        <v>37730.17</v>
      </c>
      <c r="AD23" s="48">
        <v>0</v>
      </c>
      <c r="AE23" s="48">
        <v>0</v>
      </c>
      <c r="AF23" s="48">
        <v>31390.18</v>
      </c>
      <c r="AG23" s="48">
        <v>16386.150000000001</v>
      </c>
      <c r="AH23" s="48">
        <v>0</v>
      </c>
      <c r="AI23" s="48">
        <v>0</v>
      </c>
      <c r="AJ23" s="48">
        <v>0</v>
      </c>
      <c r="AK23" s="48">
        <v>0</v>
      </c>
      <c r="AL23" s="48">
        <v>0</v>
      </c>
      <c r="AM23" s="48">
        <v>16560</v>
      </c>
      <c r="AN23" s="48">
        <v>91596</v>
      </c>
      <c r="AO23" s="48">
        <v>1395207.65</v>
      </c>
      <c r="AP23" s="48">
        <v>7617.86</v>
      </c>
      <c r="AQ23" s="48">
        <v>506036.91</v>
      </c>
      <c r="AR23" s="48">
        <v>64887.93</v>
      </c>
      <c r="AS23" s="48">
        <v>172472.05</v>
      </c>
      <c r="AT23" s="48">
        <v>0</v>
      </c>
      <c r="AU23" s="48">
        <v>75444.03</v>
      </c>
      <c r="AV23" s="48">
        <v>91876.2</v>
      </c>
      <c r="AW23" s="48">
        <v>7298.83</v>
      </c>
      <c r="AX23" s="48">
        <v>815.08</v>
      </c>
      <c r="AY23" s="48">
        <v>0</v>
      </c>
      <c r="AZ23" s="48">
        <v>25613.42</v>
      </c>
      <c r="BA23" s="48">
        <v>4999.84</v>
      </c>
      <c r="BB23" s="48">
        <v>51678.01</v>
      </c>
      <c r="BC23" s="48">
        <v>478.32</v>
      </c>
      <c r="BD23" s="48">
        <v>50390.44</v>
      </c>
      <c r="BE23" s="48">
        <v>41496</v>
      </c>
      <c r="BF23" s="48">
        <v>21138.799999999999</v>
      </c>
      <c r="BG23" s="48">
        <v>71312.2</v>
      </c>
      <c r="BH23" s="48">
        <v>21864.66</v>
      </c>
      <c r="BI23" s="48">
        <v>0</v>
      </c>
      <c r="BJ23" s="48">
        <v>50112.25</v>
      </c>
      <c r="BK23" s="48">
        <v>14421.39</v>
      </c>
      <c r="BL23" s="48">
        <v>36513.33</v>
      </c>
      <c r="BM23" s="48">
        <v>117848.03</v>
      </c>
      <c r="BN23" s="48">
        <v>148033.88</v>
      </c>
      <c r="BO23" s="48">
        <v>122127.45</v>
      </c>
      <c r="BP23" s="48">
        <v>41374.86</v>
      </c>
      <c r="BQ23" s="48">
        <v>0</v>
      </c>
      <c r="BR23" s="48">
        <v>0</v>
      </c>
      <c r="BS23" s="48">
        <v>15376.9</v>
      </c>
      <c r="BT23" s="48">
        <v>0</v>
      </c>
      <c r="BU23" s="48">
        <v>0</v>
      </c>
      <c r="BV23" s="48">
        <v>10536</v>
      </c>
      <c r="BW23" s="48">
        <v>7500</v>
      </c>
      <c r="BX23" s="48">
        <v>15377</v>
      </c>
      <c r="BY23" s="48">
        <v>1</v>
      </c>
      <c r="BZ23" s="48">
        <v>0</v>
      </c>
      <c r="CA23" s="453">
        <v>0</v>
      </c>
      <c r="CB23" s="454"/>
      <c r="CC23" s="48">
        <v>20063.45</v>
      </c>
      <c r="CD23" s="48">
        <v>13349.7</v>
      </c>
      <c r="CE23" s="48">
        <v>19556</v>
      </c>
      <c r="CF23" s="48">
        <v>-252423</v>
      </c>
      <c r="CG23" s="48">
        <v>0</v>
      </c>
      <c r="CH23" s="48">
        <v>0</v>
      </c>
      <c r="CI23" s="48">
        <v>0</v>
      </c>
      <c r="CJ23" s="49">
        <v>0</v>
      </c>
      <c r="CK23" s="50">
        <f t="shared" si="0"/>
        <v>-232867</v>
      </c>
      <c r="CL23" s="50">
        <f t="shared" si="1"/>
        <v>0</v>
      </c>
    </row>
    <row r="24" spans="1:90" ht="25.5">
      <c r="A24" s="48">
        <v>302</v>
      </c>
      <c r="B24" s="48">
        <v>2027</v>
      </c>
      <c r="C24" s="48" t="s">
        <v>328</v>
      </c>
      <c r="D24" s="48" t="s">
        <v>441</v>
      </c>
      <c r="E24" s="48"/>
      <c r="F24" s="48" t="s">
        <v>435</v>
      </c>
      <c r="G24" s="48">
        <v>0</v>
      </c>
      <c r="H24" s="48">
        <v>1</v>
      </c>
      <c r="I24" s="48" t="s">
        <v>436</v>
      </c>
      <c r="J24" s="48" t="s">
        <v>437</v>
      </c>
      <c r="K24" s="48" t="s">
        <v>438</v>
      </c>
      <c r="L24" s="48" t="s">
        <v>439</v>
      </c>
      <c r="M24" s="48" t="s">
        <v>438</v>
      </c>
      <c r="N24" s="48" t="s">
        <v>440</v>
      </c>
      <c r="O24" s="48" t="s">
        <v>181</v>
      </c>
      <c r="P24" s="48" t="s">
        <v>181</v>
      </c>
      <c r="Q24" s="48">
        <v>6864.76</v>
      </c>
      <c r="R24" s="48">
        <v>0</v>
      </c>
      <c r="S24" s="48">
        <v>391.68</v>
      </c>
      <c r="T24" s="48">
        <v>1595311.67</v>
      </c>
      <c r="U24" s="48">
        <v>0</v>
      </c>
      <c r="V24" s="48">
        <v>75320.39</v>
      </c>
      <c r="W24" s="48">
        <v>0</v>
      </c>
      <c r="X24" s="48">
        <v>92735.01</v>
      </c>
      <c r="Y24" s="48">
        <v>3700</v>
      </c>
      <c r="Z24" s="48">
        <v>0</v>
      </c>
      <c r="AA24" s="48">
        <v>10214</v>
      </c>
      <c r="AB24" s="48">
        <v>14521.5</v>
      </c>
      <c r="AC24" s="48">
        <v>60159.78</v>
      </c>
      <c r="AD24" s="48">
        <v>0</v>
      </c>
      <c r="AE24" s="48">
        <v>0</v>
      </c>
      <c r="AF24" s="48">
        <v>3023.99</v>
      </c>
      <c r="AG24" s="48">
        <v>9109.7800000000007</v>
      </c>
      <c r="AH24" s="48">
        <v>0</v>
      </c>
      <c r="AI24" s="48">
        <v>0</v>
      </c>
      <c r="AJ24" s="48">
        <v>0</v>
      </c>
      <c r="AK24" s="48">
        <v>0</v>
      </c>
      <c r="AL24" s="48">
        <v>0</v>
      </c>
      <c r="AM24" s="48">
        <v>21282.5</v>
      </c>
      <c r="AN24" s="48">
        <v>24342.83</v>
      </c>
      <c r="AO24" s="48">
        <v>968088.79</v>
      </c>
      <c r="AP24" s="48">
        <v>0</v>
      </c>
      <c r="AQ24" s="48">
        <v>264163.52</v>
      </c>
      <c r="AR24" s="48">
        <v>36711.58</v>
      </c>
      <c r="AS24" s="48">
        <v>91849</v>
      </c>
      <c r="AT24" s="48">
        <v>0</v>
      </c>
      <c r="AU24" s="48">
        <v>21455.63</v>
      </c>
      <c r="AV24" s="48">
        <v>10743.8</v>
      </c>
      <c r="AW24" s="48">
        <v>3779.65</v>
      </c>
      <c r="AX24" s="48">
        <v>575.64</v>
      </c>
      <c r="AY24" s="48">
        <v>0</v>
      </c>
      <c r="AZ24" s="48">
        <v>13085.36</v>
      </c>
      <c r="BA24" s="48">
        <v>1650.91</v>
      </c>
      <c r="BB24" s="48">
        <v>27907.07</v>
      </c>
      <c r="BC24" s="48">
        <v>4047.49</v>
      </c>
      <c r="BD24" s="48">
        <v>27349.05</v>
      </c>
      <c r="BE24" s="48">
        <v>19542.8</v>
      </c>
      <c r="BF24" s="48">
        <v>15643.51</v>
      </c>
      <c r="BG24" s="48">
        <v>29679.32</v>
      </c>
      <c r="BH24" s="48">
        <v>18475.7</v>
      </c>
      <c r="BI24" s="48">
        <v>0</v>
      </c>
      <c r="BJ24" s="48">
        <v>13136.85</v>
      </c>
      <c r="BK24" s="48">
        <v>9668.3700000000008</v>
      </c>
      <c r="BL24" s="48">
        <v>4205.6400000000003</v>
      </c>
      <c r="BM24" s="48">
        <v>81351.259999999995</v>
      </c>
      <c r="BN24" s="48">
        <v>128724.1</v>
      </c>
      <c r="BO24" s="48">
        <v>111905.69</v>
      </c>
      <c r="BP24" s="48">
        <v>29385.5</v>
      </c>
      <c r="BQ24" s="48">
        <v>0</v>
      </c>
      <c r="BR24" s="48">
        <v>0</v>
      </c>
      <c r="BS24" s="48">
        <v>0</v>
      </c>
      <c r="BT24" s="48">
        <v>0</v>
      </c>
      <c r="BU24" s="48">
        <v>0</v>
      </c>
      <c r="BV24" s="48">
        <v>7994</v>
      </c>
      <c r="BW24" s="48">
        <v>5267</v>
      </c>
      <c r="BX24" s="48">
        <v>0</v>
      </c>
      <c r="BY24" s="48">
        <v>1</v>
      </c>
      <c r="BZ24" s="48">
        <v>0</v>
      </c>
      <c r="CA24" s="453">
        <v>2112.9499999999998</v>
      </c>
      <c r="CB24" s="454"/>
      <c r="CC24" s="48">
        <v>0</v>
      </c>
      <c r="CD24" s="48">
        <v>11541</v>
      </c>
      <c r="CE24" s="48">
        <v>0</v>
      </c>
      <c r="CF24" s="48">
        <v>-16540</v>
      </c>
      <c r="CG24" s="48">
        <v>0</v>
      </c>
      <c r="CH24" s="48">
        <v>0</v>
      </c>
      <c r="CI24" s="48">
        <v>0</v>
      </c>
      <c r="CJ24" s="49">
        <v>0</v>
      </c>
      <c r="CK24" s="50">
        <f t="shared" si="0"/>
        <v>-16540</v>
      </c>
      <c r="CL24" s="50">
        <f t="shared" si="1"/>
        <v>0</v>
      </c>
    </row>
    <row r="25" spans="1:90" ht="25.5">
      <c r="A25" s="48">
        <v>302</v>
      </c>
      <c r="B25" s="48">
        <v>2028</v>
      </c>
      <c r="C25" s="48" t="s">
        <v>445</v>
      </c>
      <c r="D25" s="48" t="s">
        <v>441</v>
      </c>
      <c r="E25" s="48"/>
      <c r="F25" s="48" t="s">
        <v>435</v>
      </c>
      <c r="G25" s="48">
        <v>0</v>
      </c>
      <c r="H25" s="48">
        <v>1</v>
      </c>
      <c r="I25" s="48" t="s">
        <v>436</v>
      </c>
      <c r="J25" s="48" t="s">
        <v>437</v>
      </c>
      <c r="K25" s="48" t="s">
        <v>438</v>
      </c>
      <c r="L25" s="48" t="s">
        <v>439</v>
      </c>
      <c r="M25" s="48" t="s">
        <v>438</v>
      </c>
      <c r="N25" s="48" t="s">
        <v>440</v>
      </c>
      <c r="O25" s="48" t="s">
        <v>181</v>
      </c>
      <c r="P25" s="48" t="s">
        <v>181</v>
      </c>
      <c r="Q25" s="48">
        <v>26766.66</v>
      </c>
      <c r="R25" s="48">
        <v>0</v>
      </c>
      <c r="S25" s="48">
        <v>-1.03</v>
      </c>
      <c r="T25" s="48">
        <v>1204665.3</v>
      </c>
      <c r="U25" s="48">
        <v>0</v>
      </c>
      <c r="V25" s="48">
        <v>51852.02</v>
      </c>
      <c r="W25" s="48">
        <v>0</v>
      </c>
      <c r="X25" s="48">
        <v>65559.990000000005</v>
      </c>
      <c r="Y25" s="48">
        <v>25067.27</v>
      </c>
      <c r="Z25" s="48">
        <v>500</v>
      </c>
      <c r="AA25" s="48">
        <v>9236</v>
      </c>
      <c r="AB25" s="48">
        <v>8555.4500000000007</v>
      </c>
      <c r="AC25" s="48">
        <v>1150.49</v>
      </c>
      <c r="AD25" s="48">
        <v>0</v>
      </c>
      <c r="AE25" s="48">
        <v>0</v>
      </c>
      <c r="AF25" s="48">
        <v>1824.5</v>
      </c>
      <c r="AG25" s="48">
        <v>25136.69</v>
      </c>
      <c r="AH25" s="48">
        <v>0</v>
      </c>
      <c r="AI25" s="48">
        <v>0</v>
      </c>
      <c r="AJ25" s="48">
        <v>0</v>
      </c>
      <c r="AK25" s="48">
        <v>0</v>
      </c>
      <c r="AL25" s="48">
        <v>0</v>
      </c>
      <c r="AM25" s="48">
        <v>13839</v>
      </c>
      <c r="AN25" s="48">
        <v>81572</v>
      </c>
      <c r="AO25" s="48">
        <v>800622.98</v>
      </c>
      <c r="AP25" s="48">
        <v>1983.99</v>
      </c>
      <c r="AQ25" s="48">
        <v>214813.25</v>
      </c>
      <c r="AR25" s="48">
        <v>36710.81</v>
      </c>
      <c r="AS25" s="48">
        <v>89452.69</v>
      </c>
      <c r="AT25" s="48">
        <v>0</v>
      </c>
      <c r="AU25" s="48">
        <v>30707.03</v>
      </c>
      <c r="AV25" s="48">
        <v>6671.77</v>
      </c>
      <c r="AW25" s="48">
        <v>990</v>
      </c>
      <c r="AX25" s="48">
        <v>382.12</v>
      </c>
      <c r="AY25" s="48">
        <v>0</v>
      </c>
      <c r="AZ25" s="48">
        <v>15555.03</v>
      </c>
      <c r="BA25" s="48">
        <v>1026.48</v>
      </c>
      <c r="BB25" s="48">
        <v>19496.990000000002</v>
      </c>
      <c r="BC25" s="48">
        <v>2698.33</v>
      </c>
      <c r="BD25" s="48">
        <v>13116.76</v>
      </c>
      <c r="BE25" s="48">
        <v>19542.8</v>
      </c>
      <c r="BF25" s="48">
        <v>10570.24</v>
      </c>
      <c r="BG25" s="48">
        <v>21624.18</v>
      </c>
      <c r="BH25" s="48">
        <v>7049.26</v>
      </c>
      <c r="BI25" s="48">
        <v>0</v>
      </c>
      <c r="BJ25" s="48">
        <v>9367.49</v>
      </c>
      <c r="BK25" s="48">
        <v>6436.71</v>
      </c>
      <c r="BL25" s="48">
        <v>530.70000000000005</v>
      </c>
      <c r="BM25" s="48">
        <v>72943.31</v>
      </c>
      <c r="BN25" s="48">
        <v>23332.75</v>
      </c>
      <c r="BO25" s="48">
        <v>116259.6</v>
      </c>
      <c r="BP25" s="48">
        <v>28839.5</v>
      </c>
      <c r="BQ25" s="48">
        <v>0</v>
      </c>
      <c r="BR25" s="48">
        <v>0</v>
      </c>
      <c r="BS25" s="48">
        <v>0</v>
      </c>
      <c r="BT25" s="48">
        <v>0</v>
      </c>
      <c r="BU25" s="48">
        <v>0</v>
      </c>
      <c r="BV25" s="48">
        <v>6835</v>
      </c>
      <c r="BW25" s="48">
        <v>0</v>
      </c>
      <c r="BX25" s="48">
        <v>0</v>
      </c>
      <c r="BY25" s="48">
        <v>1</v>
      </c>
      <c r="BZ25" s="48">
        <v>0</v>
      </c>
      <c r="CA25" s="453">
        <v>4425.47</v>
      </c>
      <c r="CB25" s="454"/>
      <c r="CC25" s="48">
        <v>0</v>
      </c>
      <c r="CD25" s="48">
        <v>1507.9</v>
      </c>
      <c r="CE25" s="48">
        <v>0</v>
      </c>
      <c r="CF25" s="48">
        <v>-34999</v>
      </c>
      <c r="CG25" s="48">
        <v>901</v>
      </c>
      <c r="CH25" s="48">
        <v>0</v>
      </c>
      <c r="CI25" s="48">
        <v>0</v>
      </c>
      <c r="CJ25" s="49">
        <v>0</v>
      </c>
      <c r="CK25" s="50">
        <f t="shared" si="0"/>
        <v>-34999</v>
      </c>
      <c r="CL25" s="50">
        <f t="shared" si="1"/>
        <v>901</v>
      </c>
    </row>
    <row r="26" spans="1:90" ht="25.5">
      <c r="A26" s="48">
        <v>302</v>
      </c>
      <c r="B26" s="48">
        <v>2029</v>
      </c>
      <c r="C26" s="48" t="s">
        <v>63</v>
      </c>
      <c r="D26" s="48" t="s">
        <v>441</v>
      </c>
      <c r="E26" s="48"/>
      <c r="F26" s="48" t="s">
        <v>435</v>
      </c>
      <c r="G26" s="48">
        <v>0</v>
      </c>
      <c r="H26" s="48">
        <v>3</v>
      </c>
      <c r="I26" s="48" t="s">
        <v>436</v>
      </c>
      <c r="J26" s="48" t="s">
        <v>437</v>
      </c>
      <c r="K26" s="48" t="s">
        <v>438</v>
      </c>
      <c r="L26" s="48" t="s">
        <v>439</v>
      </c>
      <c r="M26" s="48" t="s">
        <v>438</v>
      </c>
      <c r="N26" s="48" t="s">
        <v>440</v>
      </c>
      <c r="O26" s="48" t="s">
        <v>181</v>
      </c>
      <c r="P26" s="48" t="s">
        <v>181</v>
      </c>
      <c r="Q26" s="48">
        <v>4470.97</v>
      </c>
      <c r="R26" s="48">
        <v>0</v>
      </c>
      <c r="S26" s="48">
        <v>11118</v>
      </c>
      <c r="T26" s="48">
        <v>2442052.8199999998</v>
      </c>
      <c r="U26" s="48">
        <v>0</v>
      </c>
      <c r="V26" s="48">
        <v>160985.04999999999</v>
      </c>
      <c r="W26" s="48">
        <v>0</v>
      </c>
      <c r="X26" s="48">
        <v>213920.02</v>
      </c>
      <c r="Y26" s="48">
        <v>1166.33</v>
      </c>
      <c r="Z26" s="48">
        <v>4267</v>
      </c>
      <c r="AA26" s="48">
        <v>0</v>
      </c>
      <c r="AB26" s="48">
        <v>41734.730000000003</v>
      </c>
      <c r="AC26" s="48">
        <v>35634.25</v>
      </c>
      <c r="AD26" s="48">
        <v>0</v>
      </c>
      <c r="AE26" s="48">
        <v>0</v>
      </c>
      <c r="AF26" s="48">
        <v>9726.2000000000007</v>
      </c>
      <c r="AG26" s="48">
        <v>6533.66</v>
      </c>
      <c r="AH26" s="48">
        <v>0</v>
      </c>
      <c r="AI26" s="48">
        <v>0</v>
      </c>
      <c r="AJ26" s="48">
        <v>0</v>
      </c>
      <c r="AK26" s="48">
        <v>0</v>
      </c>
      <c r="AL26" s="48">
        <v>0</v>
      </c>
      <c r="AM26" s="48">
        <v>35268.76</v>
      </c>
      <c r="AN26" s="48">
        <v>75707</v>
      </c>
      <c r="AO26" s="48">
        <v>1193971.0900000001</v>
      </c>
      <c r="AP26" s="48">
        <v>0</v>
      </c>
      <c r="AQ26" s="48">
        <v>780170.16</v>
      </c>
      <c r="AR26" s="48">
        <v>115414.57</v>
      </c>
      <c r="AS26" s="48">
        <v>68279.39</v>
      </c>
      <c r="AT26" s="48">
        <v>81855.89</v>
      </c>
      <c r="AU26" s="48">
        <v>173587.22</v>
      </c>
      <c r="AV26" s="48">
        <v>9894.83</v>
      </c>
      <c r="AW26" s="48">
        <v>3318.94</v>
      </c>
      <c r="AX26" s="48">
        <v>678.96</v>
      </c>
      <c r="AY26" s="48">
        <v>0</v>
      </c>
      <c r="AZ26" s="48">
        <v>21077.21</v>
      </c>
      <c r="BA26" s="48">
        <v>-146.24</v>
      </c>
      <c r="BB26" s="48">
        <v>3434.51</v>
      </c>
      <c r="BC26" s="48">
        <v>2089.25</v>
      </c>
      <c r="BD26" s="48">
        <v>58670.83</v>
      </c>
      <c r="BE26" s="48">
        <v>26112</v>
      </c>
      <c r="BF26" s="48">
        <v>20671.54</v>
      </c>
      <c r="BG26" s="48">
        <v>69482.759999999995</v>
      </c>
      <c r="BH26" s="48">
        <v>18029.32</v>
      </c>
      <c r="BI26" s="48">
        <v>0</v>
      </c>
      <c r="BJ26" s="48">
        <v>22427.439999999999</v>
      </c>
      <c r="BK26" s="48">
        <v>12469.18</v>
      </c>
      <c r="BL26" s="48">
        <v>14101.63</v>
      </c>
      <c r="BM26" s="48">
        <v>87965.77</v>
      </c>
      <c r="BN26" s="48">
        <v>66189.08</v>
      </c>
      <c r="BO26" s="48">
        <v>196968.92</v>
      </c>
      <c r="BP26" s="48">
        <v>41491.94</v>
      </c>
      <c r="BQ26" s="48">
        <v>0</v>
      </c>
      <c r="BR26" s="48">
        <v>0</v>
      </c>
      <c r="BS26" s="48">
        <v>0</v>
      </c>
      <c r="BT26" s="48">
        <v>0</v>
      </c>
      <c r="BU26" s="48">
        <v>0</v>
      </c>
      <c r="BV26" s="48">
        <v>9172.75</v>
      </c>
      <c r="BW26" s="48">
        <v>0</v>
      </c>
      <c r="BX26" s="48">
        <v>0</v>
      </c>
      <c r="BY26" s="48">
        <v>1</v>
      </c>
      <c r="BZ26" s="48">
        <v>0</v>
      </c>
      <c r="CA26" s="453">
        <v>-2280</v>
      </c>
      <c r="CB26" s="454"/>
      <c r="CC26" s="48">
        <v>0</v>
      </c>
      <c r="CD26" s="48">
        <v>0</v>
      </c>
      <c r="CE26" s="48">
        <v>0</v>
      </c>
      <c r="CF26" s="48">
        <v>-56739</v>
      </c>
      <c r="CG26" s="48">
        <v>22571</v>
      </c>
      <c r="CH26" s="48">
        <v>0</v>
      </c>
      <c r="CI26" s="48">
        <v>0</v>
      </c>
      <c r="CJ26" s="49">
        <v>0</v>
      </c>
      <c r="CK26" s="50">
        <f t="shared" si="0"/>
        <v>-56739</v>
      </c>
      <c r="CL26" s="50">
        <f t="shared" si="1"/>
        <v>22571</v>
      </c>
    </row>
    <row r="27" spans="1:90" ht="25.5">
      <c r="A27" s="48">
        <v>302</v>
      </c>
      <c r="B27" s="48">
        <v>2031</v>
      </c>
      <c r="C27" s="48" t="s">
        <v>65</v>
      </c>
      <c r="D27" s="48" t="s">
        <v>441</v>
      </c>
      <c r="E27" s="48"/>
      <c r="F27" s="48" t="s">
        <v>435</v>
      </c>
      <c r="G27" s="48">
        <v>0</v>
      </c>
      <c r="H27" s="48">
        <v>2</v>
      </c>
      <c r="I27" s="48" t="s">
        <v>436</v>
      </c>
      <c r="J27" s="48" t="s">
        <v>437</v>
      </c>
      <c r="K27" s="48" t="s">
        <v>438</v>
      </c>
      <c r="L27" s="48" t="s">
        <v>439</v>
      </c>
      <c r="M27" s="48" t="s">
        <v>438</v>
      </c>
      <c r="N27" s="48" t="s">
        <v>440</v>
      </c>
      <c r="O27" s="48" t="s">
        <v>181</v>
      </c>
      <c r="P27" s="48" t="s">
        <v>181</v>
      </c>
      <c r="Q27" s="48">
        <v>15444.26</v>
      </c>
      <c r="R27" s="48">
        <v>0</v>
      </c>
      <c r="S27" s="48">
        <v>8249.7900000000009</v>
      </c>
      <c r="T27" s="48">
        <v>1150979.49</v>
      </c>
      <c r="U27" s="48">
        <v>0</v>
      </c>
      <c r="V27" s="48">
        <v>43064.38</v>
      </c>
      <c r="W27" s="48">
        <v>0</v>
      </c>
      <c r="X27" s="48">
        <v>82045.05</v>
      </c>
      <c r="Y27" s="48">
        <v>0</v>
      </c>
      <c r="Z27" s="48">
        <v>7969.5</v>
      </c>
      <c r="AA27" s="48">
        <v>14558.48</v>
      </c>
      <c r="AB27" s="48">
        <v>24785.42</v>
      </c>
      <c r="AC27" s="48">
        <v>11385.43</v>
      </c>
      <c r="AD27" s="48">
        <v>0</v>
      </c>
      <c r="AE27" s="48">
        <v>0</v>
      </c>
      <c r="AF27" s="48">
        <v>16871.099999999999</v>
      </c>
      <c r="AG27" s="48">
        <v>7425.02</v>
      </c>
      <c r="AH27" s="48">
        <v>0</v>
      </c>
      <c r="AI27" s="48">
        <v>0</v>
      </c>
      <c r="AJ27" s="48">
        <v>0</v>
      </c>
      <c r="AK27" s="48">
        <v>0</v>
      </c>
      <c r="AL27" s="48">
        <v>0</v>
      </c>
      <c r="AM27" s="48">
        <v>14402.33</v>
      </c>
      <c r="AN27" s="48">
        <v>37814.83</v>
      </c>
      <c r="AO27" s="48">
        <v>688004.88</v>
      </c>
      <c r="AP27" s="48">
        <v>0</v>
      </c>
      <c r="AQ27" s="48">
        <v>310891.23</v>
      </c>
      <c r="AR27" s="48">
        <v>35349.18</v>
      </c>
      <c r="AS27" s="48">
        <v>80271.520000000004</v>
      </c>
      <c r="AT27" s="48">
        <v>0</v>
      </c>
      <c r="AU27" s="48">
        <v>30723.01</v>
      </c>
      <c r="AV27" s="48">
        <v>20417.66</v>
      </c>
      <c r="AW27" s="48">
        <v>2072.5</v>
      </c>
      <c r="AX27" s="48">
        <v>305.04000000000002</v>
      </c>
      <c r="AY27" s="48">
        <v>0</v>
      </c>
      <c r="AZ27" s="48">
        <v>4677.83</v>
      </c>
      <c r="BA27" s="48">
        <v>2655.56</v>
      </c>
      <c r="BB27" s="48">
        <v>24611.69</v>
      </c>
      <c r="BC27" s="48">
        <v>3729.82</v>
      </c>
      <c r="BD27" s="48">
        <v>11718.59</v>
      </c>
      <c r="BE27" s="48">
        <v>4019.2</v>
      </c>
      <c r="BF27" s="48">
        <v>11475.73</v>
      </c>
      <c r="BG27" s="48">
        <v>32600.55</v>
      </c>
      <c r="BH27" s="48">
        <v>7907.98</v>
      </c>
      <c r="BI27" s="48">
        <v>0</v>
      </c>
      <c r="BJ27" s="48">
        <v>8072.09</v>
      </c>
      <c r="BK27" s="48">
        <v>5620.82</v>
      </c>
      <c r="BL27" s="48">
        <v>7809.73</v>
      </c>
      <c r="BM27" s="48">
        <v>44983.54</v>
      </c>
      <c r="BN27" s="48">
        <v>32769.9</v>
      </c>
      <c r="BO27" s="48">
        <v>79344.77</v>
      </c>
      <c r="BP27" s="48">
        <v>18440</v>
      </c>
      <c r="BQ27" s="48">
        <v>0</v>
      </c>
      <c r="BR27" s="48">
        <v>0</v>
      </c>
      <c r="BS27" s="48">
        <v>0</v>
      </c>
      <c r="BT27" s="48">
        <v>0</v>
      </c>
      <c r="BU27" s="48">
        <v>0</v>
      </c>
      <c r="BV27" s="48">
        <v>29882.5</v>
      </c>
      <c r="BW27" s="48">
        <v>0</v>
      </c>
      <c r="BX27" s="48">
        <v>0</v>
      </c>
      <c r="BY27" s="48">
        <v>1</v>
      </c>
      <c r="BZ27" s="48">
        <v>0</v>
      </c>
      <c r="CA27" s="453">
        <v>23421</v>
      </c>
      <c r="CB27" s="454"/>
      <c r="CC27" s="48">
        <v>0</v>
      </c>
      <c r="CD27" s="48">
        <v>13922</v>
      </c>
      <c r="CE27" s="48">
        <v>0</v>
      </c>
      <c r="CF27" s="48">
        <v>-41728</v>
      </c>
      <c r="CG27" s="48">
        <v>789</v>
      </c>
      <c r="CH27" s="48">
        <v>0</v>
      </c>
      <c r="CI27" s="48">
        <v>0</v>
      </c>
      <c r="CJ27" s="49">
        <v>0</v>
      </c>
      <c r="CK27" s="50">
        <f t="shared" si="0"/>
        <v>-41728</v>
      </c>
      <c r="CL27" s="50">
        <f t="shared" si="1"/>
        <v>789</v>
      </c>
    </row>
    <row r="28" spans="1:90" ht="25.5">
      <c r="A28" s="48">
        <v>302</v>
      </c>
      <c r="B28" s="48">
        <v>2032</v>
      </c>
      <c r="C28" s="48" t="s">
        <v>66</v>
      </c>
      <c r="D28" s="48" t="s">
        <v>441</v>
      </c>
      <c r="E28" s="48"/>
      <c r="F28" s="48" t="s">
        <v>435</v>
      </c>
      <c r="G28" s="48">
        <v>0</v>
      </c>
      <c r="H28" s="48">
        <v>1</v>
      </c>
      <c r="I28" s="48" t="s">
        <v>436</v>
      </c>
      <c r="J28" s="48" t="s">
        <v>437</v>
      </c>
      <c r="K28" s="48" t="s">
        <v>438</v>
      </c>
      <c r="L28" s="48" t="s">
        <v>439</v>
      </c>
      <c r="M28" s="48" t="s">
        <v>438</v>
      </c>
      <c r="N28" s="48" t="s">
        <v>440</v>
      </c>
      <c r="O28" s="48" t="s">
        <v>181</v>
      </c>
      <c r="P28" s="48" t="s">
        <v>181</v>
      </c>
      <c r="Q28" s="48">
        <v>209903.29</v>
      </c>
      <c r="R28" s="48">
        <v>0</v>
      </c>
      <c r="S28" s="48">
        <v>-3537.75</v>
      </c>
      <c r="T28" s="48">
        <v>2195143.33</v>
      </c>
      <c r="U28" s="48">
        <v>0</v>
      </c>
      <c r="V28" s="48">
        <v>154328.1</v>
      </c>
      <c r="W28" s="48">
        <v>0</v>
      </c>
      <c r="X28" s="48">
        <v>128397.01</v>
      </c>
      <c r="Y28" s="48">
        <v>3475</v>
      </c>
      <c r="Z28" s="48">
        <v>0</v>
      </c>
      <c r="AA28" s="48">
        <v>0</v>
      </c>
      <c r="AB28" s="48">
        <v>103828.14</v>
      </c>
      <c r="AC28" s="48">
        <v>40491.33</v>
      </c>
      <c r="AD28" s="48">
        <v>0</v>
      </c>
      <c r="AE28" s="48">
        <v>0</v>
      </c>
      <c r="AF28" s="48">
        <v>1738</v>
      </c>
      <c r="AG28" s="48">
        <v>33206.620000000003</v>
      </c>
      <c r="AH28" s="48">
        <v>0</v>
      </c>
      <c r="AI28" s="48">
        <v>0</v>
      </c>
      <c r="AJ28" s="48">
        <v>0</v>
      </c>
      <c r="AK28" s="48">
        <v>0</v>
      </c>
      <c r="AL28" s="48">
        <v>0</v>
      </c>
      <c r="AM28" s="48">
        <v>0</v>
      </c>
      <c r="AN28" s="48">
        <v>102467.88</v>
      </c>
      <c r="AO28" s="48">
        <v>1324833.1200000001</v>
      </c>
      <c r="AP28" s="48">
        <v>0</v>
      </c>
      <c r="AQ28" s="48">
        <v>688786.25</v>
      </c>
      <c r="AR28" s="48">
        <v>38931.26</v>
      </c>
      <c r="AS28" s="48">
        <v>39995.29</v>
      </c>
      <c r="AT28" s="48">
        <v>0</v>
      </c>
      <c r="AU28" s="48">
        <v>46087.21</v>
      </c>
      <c r="AV28" s="48">
        <v>9506.82</v>
      </c>
      <c r="AW28" s="48">
        <v>4899.3</v>
      </c>
      <c r="AX28" s="48">
        <v>1772.06</v>
      </c>
      <c r="AY28" s="48">
        <v>0</v>
      </c>
      <c r="AZ28" s="48">
        <v>38975.26</v>
      </c>
      <c r="BA28" s="48">
        <v>3946.77</v>
      </c>
      <c r="BB28" s="48">
        <v>57529.81</v>
      </c>
      <c r="BC28" s="48">
        <v>5645.71</v>
      </c>
      <c r="BD28" s="48">
        <v>30927.040000000001</v>
      </c>
      <c r="BE28" s="48">
        <v>26880</v>
      </c>
      <c r="BF28" s="48">
        <v>8979.44</v>
      </c>
      <c r="BG28" s="48">
        <v>66244.600000000006</v>
      </c>
      <c r="BH28" s="48">
        <v>15255.19</v>
      </c>
      <c r="BI28" s="48">
        <v>0</v>
      </c>
      <c r="BJ28" s="48">
        <v>16461.43</v>
      </c>
      <c r="BK28" s="48">
        <v>12986.06</v>
      </c>
      <c r="BL28" s="48">
        <v>3157</v>
      </c>
      <c r="BM28" s="48">
        <v>119021.45</v>
      </c>
      <c r="BN28" s="48">
        <v>186864.14</v>
      </c>
      <c r="BO28" s="48">
        <v>72070</v>
      </c>
      <c r="BP28" s="48">
        <v>44272.67</v>
      </c>
      <c r="BQ28" s="48">
        <v>0</v>
      </c>
      <c r="BR28" s="48">
        <v>0</v>
      </c>
      <c r="BS28" s="48">
        <v>0</v>
      </c>
      <c r="BT28" s="48">
        <v>0</v>
      </c>
      <c r="BU28" s="48">
        <v>0</v>
      </c>
      <c r="BV28" s="48">
        <v>9489</v>
      </c>
      <c r="BW28" s="48">
        <v>0</v>
      </c>
      <c r="BX28" s="48">
        <v>0</v>
      </c>
      <c r="BY28" s="48">
        <v>1</v>
      </c>
      <c r="BZ28" s="48">
        <v>0</v>
      </c>
      <c r="CA28" s="453">
        <v>9022.11</v>
      </c>
      <c r="CB28" s="454"/>
      <c r="CC28" s="48">
        <v>0</v>
      </c>
      <c r="CD28" s="48">
        <v>0</v>
      </c>
      <c r="CE28" s="48">
        <v>10000</v>
      </c>
      <c r="CF28" s="48">
        <v>98951</v>
      </c>
      <c r="CG28" s="48">
        <v>-3071</v>
      </c>
      <c r="CH28" s="48">
        <v>0</v>
      </c>
      <c r="CI28" s="48">
        <v>0</v>
      </c>
      <c r="CJ28" s="49">
        <v>0</v>
      </c>
      <c r="CK28" s="50">
        <f t="shared" si="0"/>
        <v>108951</v>
      </c>
      <c r="CL28" s="50">
        <f t="shared" si="1"/>
        <v>-3071</v>
      </c>
    </row>
    <row r="29" spans="1:90" ht="25.5">
      <c r="A29" s="48">
        <v>302</v>
      </c>
      <c r="B29" s="48">
        <v>2036</v>
      </c>
      <c r="C29" s="48" t="s">
        <v>68</v>
      </c>
      <c r="D29" s="48" t="s">
        <v>441</v>
      </c>
      <c r="E29" s="48"/>
      <c r="F29" s="48" t="s">
        <v>435</v>
      </c>
      <c r="G29" s="48">
        <v>0</v>
      </c>
      <c r="H29" s="48">
        <v>0</v>
      </c>
      <c r="I29" s="48" t="s">
        <v>436</v>
      </c>
      <c r="J29" s="48" t="s">
        <v>437</v>
      </c>
      <c r="K29" s="48" t="s">
        <v>438</v>
      </c>
      <c r="L29" s="48" t="s">
        <v>439</v>
      </c>
      <c r="M29" s="48" t="s">
        <v>438</v>
      </c>
      <c r="N29" s="48" t="s">
        <v>440</v>
      </c>
      <c r="O29" s="48" t="s">
        <v>181</v>
      </c>
      <c r="P29" s="48" t="s">
        <v>181</v>
      </c>
      <c r="Q29" s="48">
        <v>630071.93000000005</v>
      </c>
      <c r="R29" s="48">
        <v>0</v>
      </c>
      <c r="S29" s="48">
        <v>0</v>
      </c>
      <c r="T29" s="48">
        <v>1777587</v>
      </c>
      <c r="U29" s="48">
        <v>0</v>
      </c>
      <c r="V29" s="48">
        <v>380447</v>
      </c>
      <c r="W29" s="48">
        <v>0</v>
      </c>
      <c r="X29" s="48">
        <v>138535</v>
      </c>
      <c r="Y29" s="48">
        <v>1182</v>
      </c>
      <c r="Z29" s="48">
        <v>4001</v>
      </c>
      <c r="AA29" s="48">
        <v>6800</v>
      </c>
      <c r="AB29" s="48">
        <v>60294</v>
      </c>
      <c r="AC29" s="48">
        <v>13268</v>
      </c>
      <c r="AD29" s="48">
        <v>0</v>
      </c>
      <c r="AE29" s="48">
        <v>0</v>
      </c>
      <c r="AF29" s="48">
        <v>33194</v>
      </c>
      <c r="AG29" s="48">
        <v>3764</v>
      </c>
      <c r="AH29" s="48">
        <v>0</v>
      </c>
      <c r="AI29" s="48">
        <v>0</v>
      </c>
      <c r="AJ29" s="48">
        <v>0</v>
      </c>
      <c r="AK29" s="48">
        <v>0</v>
      </c>
      <c r="AL29" s="48">
        <v>0</v>
      </c>
      <c r="AM29" s="48">
        <v>0</v>
      </c>
      <c r="AN29" s="48">
        <v>65090</v>
      </c>
      <c r="AO29" s="48">
        <v>1074740</v>
      </c>
      <c r="AP29" s="48">
        <v>5901</v>
      </c>
      <c r="AQ29" s="48">
        <v>652145</v>
      </c>
      <c r="AR29" s="48">
        <v>80377</v>
      </c>
      <c r="AS29" s="48">
        <v>32629</v>
      </c>
      <c r="AT29" s="48">
        <v>0</v>
      </c>
      <c r="AU29" s="48">
        <v>64101</v>
      </c>
      <c r="AV29" s="48">
        <v>12291</v>
      </c>
      <c r="AW29" s="48">
        <v>4978</v>
      </c>
      <c r="AX29" s="48">
        <v>387</v>
      </c>
      <c r="AY29" s="48">
        <v>0</v>
      </c>
      <c r="AZ29" s="48">
        <v>28210</v>
      </c>
      <c r="BA29" s="48">
        <v>11272</v>
      </c>
      <c r="BB29" s="48">
        <v>7367</v>
      </c>
      <c r="BC29" s="48">
        <v>1284</v>
      </c>
      <c r="BD29" s="48">
        <v>25642</v>
      </c>
      <c r="BE29" s="48">
        <v>23453</v>
      </c>
      <c r="BF29" s="48">
        <v>12511</v>
      </c>
      <c r="BG29" s="48">
        <v>82029</v>
      </c>
      <c r="BH29" s="48">
        <v>27903</v>
      </c>
      <c r="BI29" s="48">
        <v>0</v>
      </c>
      <c r="BJ29" s="48">
        <v>16555</v>
      </c>
      <c r="BK29" s="48">
        <v>11110</v>
      </c>
      <c r="BL29" s="48">
        <v>10218</v>
      </c>
      <c r="BM29" s="48">
        <v>65568</v>
      </c>
      <c r="BN29" s="48">
        <v>0</v>
      </c>
      <c r="BO29" s="48">
        <v>73572</v>
      </c>
      <c r="BP29" s="48">
        <v>41747</v>
      </c>
      <c r="BQ29" s="48">
        <v>0</v>
      </c>
      <c r="BR29" s="48">
        <v>0</v>
      </c>
      <c r="BS29" s="48">
        <v>0</v>
      </c>
      <c r="BT29" s="48">
        <v>0</v>
      </c>
      <c r="BU29" s="48">
        <v>0</v>
      </c>
      <c r="BV29" s="48">
        <v>7552.75</v>
      </c>
      <c r="BW29" s="48">
        <v>0</v>
      </c>
      <c r="BX29" s="48">
        <v>0</v>
      </c>
      <c r="BY29" s="48">
        <v>1</v>
      </c>
      <c r="BZ29" s="48">
        <v>0</v>
      </c>
      <c r="CA29" s="453">
        <v>0</v>
      </c>
      <c r="CB29" s="454"/>
      <c r="CC29" s="48">
        <v>0</v>
      </c>
      <c r="CD29" s="48">
        <v>0</v>
      </c>
      <c r="CE29" s="48">
        <v>107593</v>
      </c>
      <c r="CF29" s="48">
        <v>640651</v>
      </c>
      <c r="CG29" s="48">
        <v>0</v>
      </c>
      <c r="CH29" s="48">
        <v>7553</v>
      </c>
      <c r="CI29" s="48">
        <v>0</v>
      </c>
      <c r="CJ29" s="49">
        <v>0</v>
      </c>
      <c r="CK29" s="50">
        <f t="shared" si="0"/>
        <v>748244</v>
      </c>
      <c r="CL29" s="50">
        <f t="shared" si="1"/>
        <v>7553</v>
      </c>
    </row>
    <row r="30" spans="1:90" ht="25.5">
      <c r="A30" s="48">
        <v>302</v>
      </c>
      <c r="B30" s="48">
        <v>2037</v>
      </c>
      <c r="C30" s="48" t="s">
        <v>446</v>
      </c>
      <c r="D30" s="48" t="s">
        <v>441</v>
      </c>
      <c r="E30" s="48"/>
      <c r="F30" s="48" t="s">
        <v>435</v>
      </c>
      <c r="G30" s="48">
        <v>0</v>
      </c>
      <c r="H30" s="48">
        <v>0</v>
      </c>
      <c r="I30" s="48" t="s">
        <v>436</v>
      </c>
      <c r="J30" s="48" t="s">
        <v>437</v>
      </c>
      <c r="K30" s="48" t="s">
        <v>438</v>
      </c>
      <c r="L30" s="48" t="s">
        <v>439</v>
      </c>
      <c r="M30" s="48" t="s">
        <v>438</v>
      </c>
      <c r="N30" s="48" t="s">
        <v>440</v>
      </c>
      <c r="O30" s="48" t="s">
        <v>181</v>
      </c>
      <c r="P30" s="48" t="s">
        <v>181</v>
      </c>
      <c r="Q30" s="48">
        <v>94671.74</v>
      </c>
      <c r="R30" s="48">
        <v>0</v>
      </c>
      <c r="S30" s="48">
        <v>28547.25</v>
      </c>
      <c r="T30" s="48">
        <v>1456514.98</v>
      </c>
      <c r="U30" s="48">
        <v>0</v>
      </c>
      <c r="V30" s="48">
        <v>62781.75</v>
      </c>
      <c r="W30" s="48">
        <v>0</v>
      </c>
      <c r="X30" s="48">
        <v>60232.99</v>
      </c>
      <c r="Y30" s="48">
        <v>7500</v>
      </c>
      <c r="Z30" s="48">
        <v>0</v>
      </c>
      <c r="AA30" s="48">
        <v>16284</v>
      </c>
      <c r="AB30" s="48">
        <v>47168.74</v>
      </c>
      <c r="AC30" s="48">
        <v>21503.74</v>
      </c>
      <c r="AD30" s="48">
        <v>3367</v>
      </c>
      <c r="AE30" s="48">
        <v>1560</v>
      </c>
      <c r="AF30" s="48">
        <v>29761.3</v>
      </c>
      <c r="AG30" s="48">
        <v>11753.19</v>
      </c>
      <c r="AH30" s="48">
        <v>0</v>
      </c>
      <c r="AI30" s="48">
        <v>0</v>
      </c>
      <c r="AJ30" s="48">
        <v>0</v>
      </c>
      <c r="AK30" s="48">
        <v>0</v>
      </c>
      <c r="AL30" s="48">
        <v>0</v>
      </c>
      <c r="AM30" s="48">
        <v>14782.5</v>
      </c>
      <c r="AN30" s="48">
        <v>44326</v>
      </c>
      <c r="AO30" s="48">
        <v>706572.26</v>
      </c>
      <c r="AP30" s="48">
        <v>0</v>
      </c>
      <c r="AQ30" s="48">
        <v>362057.81</v>
      </c>
      <c r="AR30" s="48">
        <v>40272.6</v>
      </c>
      <c r="AS30" s="48">
        <v>58928.79</v>
      </c>
      <c r="AT30" s="48">
        <v>0</v>
      </c>
      <c r="AU30" s="48">
        <v>80602.63</v>
      </c>
      <c r="AV30" s="48">
        <v>8548.68</v>
      </c>
      <c r="AW30" s="48">
        <v>2704.65</v>
      </c>
      <c r="AX30" s="48">
        <v>434.6</v>
      </c>
      <c r="AY30" s="48">
        <v>1958</v>
      </c>
      <c r="AZ30" s="48">
        <v>6581.76</v>
      </c>
      <c r="BA30" s="48">
        <v>182.88</v>
      </c>
      <c r="BB30" s="48">
        <v>28744.6</v>
      </c>
      <c r="BC30" s="48">
        <v>1725.27</v>
      </c>
      <c r="BD30" s="48">
        <v>36511.43</v>
      </c>
      <c r="BE30" s="48">
        <v>27431</v>
      </c>
      <c r="BF30" s="48">
        <v>7898.39</v>
      </c>
      <c r="BG30" s="48">
        <v>50474.61</v>
      </c>
      <c r="BH30" s="48">
        <v>12201.44</v>
      </c>
      <c r="BI30" s="48">
        <v>0</v>
      </c>
      <c r="BJ30" s="48">
        <v>9824.6299999999992</v>
      </c>
      <c r="BK30" s="48">
        <v>8088.55</v>
      </c>
      <c r="BL30" s="48">
        <v>11233.31</v>
      </c>
      <c r="BM30" s="48">
        <v>64663.77</v>
      </c>
      <c r="BN30" s="48">
        <v>37517.01</v>
      </c>
      <c r="BO30" s="48">
        <v>60050.3</v>
      </c>
      <c r="BP30" s="48">
        <v>31696.09</v>
      </c>
      <c r="BQ30" s="48">
        <v>750</v>
      </c>
      <c r="BR30" s="48">
        <v>0</v>
      </c>
      <c r="BS30" s="48">
        <v>0</v>
      </c>
      <c r="BT30" s="48">
        <v>0</v>
      </c>
      <c r="BU30" s="48">
        <v>0</v>
      </c>
      <c r="BV30" s="48">
        <v>7209</v>
      </c>
      <c r="BW30" s="48">
        <v>0</v>
      </c>
      <c r="BX30" s="48">
        <v>0</v>
      </c>
      <c r="BY30" s="48">
        <v>1</v>
      </c>
      <c r="BZ30" s="48">
        <v>0</v>
      </c>
      <c r="CA30" s="453">
        <v>13910.19</v>
      </c>
      <c r="CB30" s="454"/>
      <c r="CC30" s="48">
        <v>0</v>
      </c>
      <c r="CD30" s="48">
        <v>0</v>
      </c>
      <c r="CE30" s="48">
        <v>214553</v>
      </c>
      <c r="CF30" s="48">
        <v>0</v>
      </c>
      <c r="CG30" s="48">
        <v>21846</v>
      </c>
      <c r="CH30" s="48">
        <v>0</v>
      </c>
      <c r="CI30" s="48">
        <v>0</v>
      </c>
      <c r="CJ30" s="49">
        <v>0</v>
      </c>
      <c r="CK30" s="50">
        <f t="shared" si="0"/>
        <v>214553</v>
      </c>
      <c r="CL30" s="50">
        <f t="shared" si="1"/>
        <v>21846</v>
      </c>
    </row>
    <row r="31" spans="1:90" ht="25.5">
      <c r="A31" s="48">
        <v>302</v>
      </c>
      <c r="B31" s="48">
        <v>2042</v>
      </c>
      <c r="C31" s="48" t="s">
        <v>75</v>
      </c>
      <c r="D31" s="48" t="s">
        <v>441</v>
      </c>
      <c r="E31" s="48"/>
      <c r="F31" s="48" t="s">
        <v>435</v>
      </c>
      <c r="G31" s="48">
        <v>0</v>
      </c>
      <c r="H31" s="48">
        <v>0</v>
      </c>
      <c r="I31" s="48" t="s">
        <v>436</v>
      </c>
      <c r="J31" s="48" t="s">
        <v>437</v>
      </c>
      <c r="K31" s="48" t="s">
        <v>438</v>
      </c>
      <c r="L31" s="48" t="s">
        <v>439</v>
      </c>
      <c r="M31" s="48" t="s">
        <v>438</v>
      </c>
      <c r="N31" s="48" t="s">
        <v>440</v>
      </c>
      <c r="O31" s="48" t="s">
        <v>181</v>
      </c>
      <c r="P31" s="48" t="s">
        <v>181</v>
      </c>
      <c r="Q31" s="48">
        <v>320326.2</v>
      </c>
      <c r="R31" s="48">
        <v>0</v>
      </c>
      <c r="S31" s="48">
        <v>15595</v>
      </c>
      <c r="T31" s="48">
        <v>1843083.45</v>
      </c>
      <c r="U31" s="48">
        <v>0</v>
      </c>
      <c r="V31" s="48">
        <v>104676.27</v>
      </c>
      <c r="W31" s="48">
        <v>0</v>
      </c>
      <c r="X31" s="48">
        <v>53184.959999999999</v>
      </c>
      <c r="Y31" s="48">
        <v>0</v>
      </c>
      <c r="Z31" s="48">
        <v>0</v>
      </c>
      <c r="AA31" s="48">
        <v>96688.66</v>
      </c>
      <c r="AB31" s="48">
        <v>16372.32</v>
      </c>
      <c r="AC31" s="48">
        <v>45168.75</v>
      </c>
      <c r="AD31" s="48">
        <v>3500</v>
      </c>
      <c r="AE31" s="48">
        <v>0</v>
      </c>
      <c r="AF31" s="48">
        <v>29755.83</v>
      </c>
      <c r="AG31" s="48">
        <v>16660.830000000002</v>
      </c>
      <c r="AH31" s="48">
        <v>0</v>
      </c>
      <c r="AI31" s="48">
        <v>0</v>
      </c>
      <c r="AJ31" s="48">
        <v>0</v>
      </c>
      <c r="AK31" s="48">
        <v>0</v>
      </c>
      <c r="AL31" s="48">
        <v>21673.82</v>
      </c>
      <c r="AM31" s="48">
        <v>19503.330000000002</v>
      </c>
      <c r="AN31" s="48">
        <v>71211</v>
      </c>
      <c r="AO31" s="48">
        <v>1012470.6</v>
      </c>
      <c r="AP31" s="48">
        <v>0</v>
      </c>
      <c r="AQ31" s="48">
        <v>524192.04</v>
      </c>
      <c r="AR31" s="48">
        <v>27728.21</v>
      </c>
      <c r="AS31" s="48">
        <v>74152.710000000006</v>
      </c>
      <c r="AT31" s="48">
        <v>0</v>
      </c>
      <c r="AU31" s="48">
        <v>147422.48000000001</v>
      </c>
      <c r="AV31" s="48">
        <v>8248.56</v>
      </c>
      <c r="AW31" s="48">
        <v>1175</v>
      </c>
      <c r="AX31" s="48">
        <v>13776.37</v>
      </c>
      <c r="AY31" s="48">
        <v>0</v>
      </c>
      <c r="AZ31" s="48">
        <v>12250.29</v>
      </c>
      <c r="BA31" s="48">
        <v>4475.49</v>
      </c>
      <c r="BB31" s="48">
        <v>36730.300000000003</v>
      </c>
      <c r="BC31" s="48">
        <v>3596.31</v>
      </c>
      <c r="BD31" s="48">
        <v>22378.41</v>
      </c>
      <c r="BE31" s="48">
        <v>31232</v>
      </c>
      <c r="BF31" s="48">
        <v>8177.7</v>
      </c>
      <c r="BG31" s="48">
        <v>87299.51</v>
      </c>
      <c r="BH31" s="48">
        <v>6368.64</v>
      </c>
      <c r="BI31" s="48">
        <v>0</v>
      </c>
      <c r="BJ31" s="48">
        <v>27189.119999999999</v>
      </c>
      <c r="BK31" s="48">
        <v>11711.75</v>
      </c>
      <c r="BL31" s="48">
        <v>7450.28</v>
      </c>
      <c r="BM31" s="48">
        <v>122369.17</v>
      </c>
      <c r="BN31" s="48">
        <v>10983.83</v>
      </c>
      <c r="BO31" s="48">
        <v>83253.91</v>
      </c>
      <c r="BP31" s="48">
        <v>15547.35</v>
      </c>
      <c r="BQ31" s="48">
        <v>0</v>
      </c>
      <c r="BR31" s="48">
        <v>0</v>
      </c>
      <c r="BS31" s="48">
        <v>5154</v>
      </c>
      <c r="BT31" s="48">
        <v>0</v>
      </c>
      <c r="BU31" s="48">
        <v>0</v>
      </c>
      <c r="BV31" s="48">
        <v>8438</v>
      </c>
      <c r="BW31" s="48">
        <v>0</v>
      </c>
      <c r="BX31" s="48">
        <v>5154</v>
      </c>
      <c r="BY31" s="48">
        <v>1</v>
      </c>
      <c r="BZ31" s="48">
        <v>0</v>
      </c>
      <c r="CA31" s="453">
        <v>3015.11</v>
      </c>
      <c r="CB31" s="454"/>
      <c r="CC31" s="48">
        <v>0</v>
      </c>
      <c r="CD31" s="48">
        <v>0</v>
      </c>
      <c r="CE31" s="48">
        <v>56005</v>
      </c>
      <c r="CF31" s="48">
        <v>280467</v>
      </c>
      <c r="CG31" s="48">
        <v>26172</v>
      </c>
      <c r="CH31" s="48">
        <v>0</v>
      </c>
      <c r="CI31" s="48">
        <v>0</v>
      </c>
      <c r="CJ31" s="49">
        <v>0</v>
      </c>
      <c r="CK31" s="50">
        <f t="shared" si="0"/>
        <v>336472</v>
      </c>
      <c r="CL31" s="50">
        <f t="shared" si="1"/>
        <v>26172</v>
      </c>
    </row>
    <row r="32" spans="1:90" ht="25.5">
      <c r="A32" s="48">
        <v>302</v>
      </c>
      <c r="B32" s="48">
        <v>2043</v>
      </c>
      <c r="C32" s="48" t="s">
        <v>77</v>
      </c>
      <c r="D32" s="48" t="s">
        <v>441</v>
      </c>
      <c r="E32" s="48"/>
      <c r="F32" s="48" t="s">
        <v>435</v>
      </c>
      <c r="G32" s="48">
        <v>0</v>
      </c>
      <c r="H32" s="48">
        <v>1</v>
      </c>
      <c r="I32" s="48" t="s">
        <v>436</v>
      </c>
      <c r="J32" s="48" t="s">
        <v>437</v>
      </c>
      <c r="K32" s="48" t="s">
        <v>438</v>
      </c>
      <c r="L32" s="48" t="s">
        <v>439</v>
      </c>
      <c r="M32" s="48" t="s">
        <v>438</v>
      </c>
      <c r="N32" s="48" t="s">
        <v>440</v>
      </c>
      <c r="O32" s="48" t="s">
        <v>181</v>
      </c>
      <c r="P32" s="48" t="s">
        <v>181</v>
      </c>
      <c r="Q32" s="48">
        <v>-70477.63</v>
      </c>
      <c r="R32" s="48">
        <v>0</v>
      </c>
      <c r="S32" s="48">
        <v>2089.5</v>
      </c>
      <c r="T32" s="48">
        <v>1943889.57</v>
      </c>
      <c r="U32" s="48">
        <v>0</v>
      </c>
      <c r="V32" s="48">
        <v>128084.37</v>
      </c>
      <c r="W32" s="48">
        <v>0</v>
      </c>
      <c r="X32" s="48">
        <v>129085.05</v>
      </c>
      <c r="Y32" s="48">
        <v>2723.6</v>
      </c>
      <c r="Z32" s="48">
        <v>250</v>
      </c>
      <c r="AA32" s="48">
        <v>92484.25</v>
      </c>
      <c r="AB32" s="48">
        <v>6550.25</v>
      </c>
      <c r="AC32" s="48">
        <v>74708.899999999994</v>
      </c>
      <c r="AD32" s="48">
        <v>0</v>
      </c>
      <c r="AE32" s="48">
        <v>0</v>
      </c>
      <c r="AF32" s="48">
        <v>23746.94</v>
      </c>
      <c r="AG32" s="48">
        <v>7575.42</v>
      </c>
      <c r="AH32" s="48">
        <v>0</v>
      </c>
      <c r="AI32" s="48">
        <v>0</v>
      </c>
      <c r="AJ32" s="48">
        <v>0</v>
      </c>
      <c r="AK32" s="48">
        <v>0</v>
      </c>
      <c r="AL32" s="48">
        <v>0</v>
      </c>
      <c r="AM32" s="48">
        <v>21578.75</v>
      </c>
      <c r="AN32" s="48">
        <v>27172.25</v>
      </c>
      <c r="AO32" s="48">
        <v>1275581.24</v>
      </c>
      <c r="AP32" s="48">
        <v>0</v>
      </c>
      <c r="AQ32" s="48">
        <v>452297.6</v>
      </c>
      <c r="AR32" s="48">
        <v>37578.910000000003</v>
      </c>
      <c r="AS32" s="48">
        <v>65889.279999999999</v>
      </c>
      <c r="AT32" s="48">
        <v>0</v>
      </c>
      <c r="AU32" s="48">
        <v>35428.47</v>
      </c>
      <c r="AV32" s="48">
        <v>16614.11</v>
      </c>
      <c r="AW32" s="48">
        <v>11387</v>
      </c>
      <c r="AX32" s="48">
        <v>4745.53</v>
      </c>
      <c r="AY32" s="48">
        <v>4012.46</v>
      </c>
      <c r="AZ32" s="48">
        <v>41949.18</v>
      </c>
      <c r="BA32" s="48">
        <v>6325.7</v>
      </c>
      <c r="BB32" s="48">
        <v>79647.56</v>
      </c>
      <c r="BC32" s="48">
        <v>13893.48</v>
      </c>
      <c r="BD32" s="48">
        <v>47721.34</v>
      </c>
      <c r="BE32" s="48">
        <v>16000</v>
      </c>
      <c r="BF32" s="48">
        <v>9885.7199999999993</v>
      </c>
      <c r="BG32" s="48">
        <v>71319.360000000001</v>
      </c>
      <c r="BH32" s="48">
        <v>15273.95</v>
      </c>
      <c r="BI32" s="48">
        <v>0</v>
      </c>
      <c r="BJ32" s="48">
        <v>19568.939999999999</v>
      </c>
      <c r="BK32" s="48">
        <v>12248.89</v>
      </c>
      <c r="BL32" s="48">
        <v>1156.17</v>
      </c>
      <c r="BM32" s="48">
        <v>90970.77</v>
      </c>
      <c r="BN32" s="48">
        <v>57608.7</v>
      </c>
      <c r="BO32" s="48">
        <v>126933.15</v>
      </c>
      <c r="BP32" s="48">
        <v>45477.82</v>
      </c>
      <c r="BQ32" s="48">
        <v>0</v>
      </c>
      <c r="BR32" s="48">
        <v>0</v>
      </c>
      <c r="BS32" s="48">
        <v>0</v>
      </c>
      <c r="BT32" s="48">
        <v>0</v>
      </c>
      <c r="BU32" s="48">
        <v>0</v>
      </c>
      <c r="BV32" s="48">
        <v>9186</v>
      </c>
      <c r="BW32" s="48">
        <v>0</v>
      </c>
      <c r="BX32" s="48">
        <v>0</v>
      </c>
      <c r="BY32" s="48">
        <v>1</v>
      </c>
      <c r="BZ32" s="48">
        <v>0</v>
      </c>
      <c r="CA32" s="453">
        <v>0</v>
      </c>
      <c r="CB32" s="454"/>
      <c r="CC32" s="48">
        <v>0</v>
      </c>
      <c r="CD32" s="48">
        <v>5662.32</v>
      </c>
      <c r="CE32" s="48">
        <v>0</v>
      </c>
      <c r="CF32" s="48">
        <v>-172144</v>
      </c>
      <c r="CG32" s="48">
        <v>5613</v>
      </c>
      <c r="CH32" s="48">
        <v>0</v>
      </c>
      <c r="CI32" s="48">
        <v>0</v>
      </c>
      <c r="CJ32" s="49">
        <v>0</v>
      </c>
      <c r="CK32" s="50">
        <f t="shared" si="0"/>
        <v>-172144</v>
      </c>
      <c r="CL32" s="50">
        <f t="shared" si="1"/>
        <v>5613</v>
      </c>
    </row>
    <row r="33" spans="1:90" ht="25.5">
      <c r="A33" s="48">
        <v>302</v>
      </c>
      <c r="B33" s="48">
        <v>2044</v>
      </c>
      <c r="C33" s="48" t="s">
        <v>76</v>
      </c>
      <c r="D33" s="48" t="s">
        <v>441</v>
      </c>
      <c r="E33" s="48"/>
      <c r="F33" s="48" t="s">
        <v>435</v>
      </c>
      <c r="G33" s="48">
        <v>0</v>
      </c>
      <c r="H33" s="48">
        <v>1</v>
      </c>
      <c r="I33" s="48" t="s">
        <v>436</v>
      </c>
      <c r="J33" s="48" t="s">
        <v>437</v>
      </c>
      <c r="K33" s="48" t="s">
        <v>438</v>
      </c>
      <c r="L33" s="48" t="s">
        <v>439</v>
      </c>
      <c r="M33" s="48" t="s">
        <v>438</v>
      </c>
      <c r="N33" s="48" t="s">
        <v>440</v>
      </c>
      <c r="O33" s="48" t="s">
        <v>181</v>
      </c>
      <c r="P33" s="48" t="s">
        <v>181</v>
      </c>
      <c r="Q33" s="48">
        <v>15994.87</v>
      </c>
      <c r="R33" s="48">
        <v>0</v>
      </c>
      <c r="S33" s="48">
        <v>0</v>
      </c>
      <c r="T33" s="48">
        <v>1646250.35</v>
      </c>
      <c r="U33" s="48">
        <v>0</v>
      </c>
      <c r="V33" s="48">
        <v>27642.400000000001</v>
      </c>
      <c r="W33" s="48">
        <v>0</v>
      </c>
      <c r="X33" s="48">
        <v>45384.959999999999</v>
      </c>
      <c r="Y33" s="48">
        <v>2363.9699999999998</v>
      </c>
      <c r="Z33" s="48">
        <v>6667</v>
      </c>
      <c r="AA33" s="48">
        <v>8064.04</v>
      </c>
      <c r="AB33" s="48">
        <v>44086.239999999998</v>
      </c>
      <c r="AC33" s="48">
        <v>541.6</v>
      </c>
      <c r="AD33" s="48">
        <v>18850</v>
      </c>
      <c r="AE33" s="48">
        <v>99.6</v>
      </c>
      <c r="AF33" s="48">
        <v>7822.77</v>
      </c>
      <c r="AG33" s="48">
        <v>14460.6</v>
      </c>
      <c r="AH33" s="48">
        <v>0</v>
      </c>
      <c r="AI33" s="48">
        <v>0</v>
      </c>
      <c r="AJ33" s="48">
        <v>0</v>
      </c>
      <c r="AK33" s="48">
        <v>0</v>
      </c>
      <c r="AL33" s="48">
        <v>0</v>
      </c>
      <c r="AM33" s="48">
        <v>15982.5</v>
      </c>
      <c r="AN33" s="48">
        <v>152558</v>
      </c>
      <c r="AO33" s="48">
        <v>856436.87</v>
      </c>
      <c r="AP33" s="48">
        <v>0</v>
      </c>
      <c r="AQ33" s="48">
        <v>294900.53000000003</v>
      </c>
      <c r="AR33" s="48">
        <v>32374.82</v>
      </c>
      <c r="AS33" s="48">
        <v>80105.38</v>
      </c>
      <c r="AT33" s="48">
        <v>0</v>
      </c>
      <c r="AU33" s="48">
        <v>69638.64</v>
      </c>
      <c r="AV33" s="48">
        <v>35675.72</v>
      </c>
      <c r="AW33" s="48">
        <v>8188.81</v>
      </c>
      <c r="AX33" s="48">
        <v>6669.05</v>
      </c>
      <c r="AY33" s="48">
        <v>6950.4</v>
      </c>
      <c r="AZ33" s="48">
        <v>20872.72</v>
      </c>
      <c r="BA33" s="48">
        <v>5173.83</v>
      </c>
      <c r="BB33" s="48">
        <v>55362.93</v>
      </c>
      <c r="BC33" s="48">
        <v>8515.3700000000008</v>
      </c>
      <c r="BD33" s="48">
        <v>32795.160000000003</v>
      </c>
      <c r="BE33" s="48">
        <v>16000</v>
      </c>
      <c r="BF33" s="48">
        <v>11889.91</v>
      </c>
      <c r="BG33" s="48">
        <v>37851.1</v>
      </c>
      <c r="BH33" s="48">
        <v>8890.4</v>
      </c>
      <c r="BI33" s="48">
        <v>0</v>
      </c>
      <c r="BJ33" s="48">
        <v>29797.3</v>
      </c>
      <c r="BK33" s="48">
        <v>9763.3700000000008</v>
      </c>
      <c r="BL33" s="48">
        <v>397.17</v>
      </c>
      <c r="BM33" s="48">
        <v>116562.41</v>
      </c>
      <c r="BN33" s="48">
        <v>165861.18</v>
      </c>
      <c r="BO33" s="48">
        <v>142536.65</v>
      </c>
      <c r="BP33" s="48">
        <v>42463.3</v>
      </c>
      <c r="BQ33" s="48">
        <v>0</v>
      </c>
      <c r="BR33" s="48">
        <v>0</v>
      </c>
      <c r="BS33" s="48">
        <v>0</v>
      </c>
      <c r="BT33" s="48">
        <v>0</v>
      </c>
      <c r="BU33" s="48">
        <v>0</v>
      </c>
      <c r="BV33" s="48">
        <v>7926.25</v>
      </c>
      <c r="BW33" s="48">
        <v>0</v>
      </c>
      <c r="BX33" s="48">
        <v>0</v>
      </c>
      <c r="BY33" s="48">
        <v>1</v>
      </c>
      <c r="BZ33" s="48">
        <v>0</v>
      </c>
      <c r="CA33" s="453">
        <v>0</v>
      </c>
      <c r="CB33" s="454"/>
      <c r="CC33" s="48">
        <v>0</v>
      </c>
      <c r="CD33" s="48">
        <v>0</v>
      </c>
      <c r="CE33" s="48">
        <v>0</v>
      </c>
      <c r="CF33" s="48">
        <v>-88904</v>
      </c>
      <c r="CG33" s="48">
        <v>7926</v>
      </c>
      <c r="CH33" s="48">
        <v>0</v>
      </c>
      <c r="CI33" s="48">
        <v>0</v>
      </c>
      <c r="CJ33" s="49">
        <v>0</v>
      </c>
      <c r="CK33" s="50">
        <f t="shared" si="0"/>
        <v>-88904</v>
      </c>
      <c r="CL33" s="50">
        <f t="shared" si="1"/>
        <v>7926</v>
      </c>
    </row>
    <row r="34" spans="1:90" ht="25.5">
      <c r="A34" s="48">
        <v>302</v>
      </c>
      <c r="B34" s="48">
        <v>2045</v>
      </c>
      <c r="C34" s="48" t="s">
        <v>78</v>
      </c>
      <c r="D34" s="48" t="s">
        <v>441</v>
      </c>
      <c r="E34" s="48"/>
      <c r="F34" s="48" t="s">
        <v>435</v>
      </c>
      <c r="G34" s="48">
        <v>0</v>
      </c>
      <c r="H34" s="48">
        <v>0</v>
      </c>
      <c r="I34" s="48" t="s">
        <v>436</v>
      </c>
      <c r="J34" s="48" t="s">
        <v>437</v>
      </c>
      <c r="K34" s="48" t="s">
        <v>438</v>
      </c>
      <c r="L34" s="48" t="s">
        <v>439</v>
      </c>
      <c r="M34" s="48" t="s">
        <v>438</v>
      </c>
      <c r="N34" s="48" t="s">
        <v>440</v>
      </c>
      <c r="O34" s="48" t="s">
        <v>181</v>
      </c>
      <c r="P34" s="48" t="s">
        <v>181</v>
      </c>
      <c r="Q34" s="48">
        <v>49397.96</v>
      </c>
      <c r="R34" s="48">
        <v>0</v>
      </c>
      <c r="S34" s="48">
        <v>0.34</v>
      </c>
      <c r="T34" s="48">
        <v>1364489.34</v>
      </c>
      <c r="U34" s="48">
        <v>0</v>
      </c>
      <c r="V34" s="48">
        <v>75307.210000000006</v>
      </c>
      <c r="W34" s="48">
        <v>0</v>
      </c>
      <c r="X34" s="48">
        <v>65845.119999999995</v>
      </c>
      <c r="Y34" s="48">
        <v>7500</v>
      </c>
      <c r="Z34" s="48">
        <v>0</v>
      </c>
      <c r="AA34" s="48">
        <v>21516.240000000002</v>
      </c>
      <c r="AB34" s="48">
        <v>58500.79</v>
      </c>
      <c r="AC34" s="48">
        <v>25156.58</v>
      </c>
      <c r="AD34" s="48">
        <v>180</v>
      </c>
      <c r="AE34" s="48">
        <v>0</v>
      </c>
      <c r="AF34" s="48">
        <v>25048.14</v>
      </c>
      <c r="AG34" s="48">
        <v>27441.759999999998</v>
      </c>
      <c r="AH34" s="48">
        <v>0</v>
      </c>
      <c r="AI34" s="48">
        <v>0</v>
      </c>
      <c r="AJ34" s="48">
        <v>0</v>
      </c>
      <c r="AK34" s="48">
        <v>0</v>
      </c>
      <c r="AL34" s="48">
        <v>0</v>
      </c>
      <c r="AM34" s="48">
        <v>13081.87</v>
      </c>
      <c r="AN34" s="48">
        <v>47444</v>
      </c>
      <c r="AO34" s="48">
        <v>760553.12</v>
      </c>
      <c r="AP34" s="48">
        <v>0</v>
      </c>
      <c r="AQ34" s="48">
        <v>458495.78</v>
      </c>
      <c r="AR34" s="48">
        <v>55497.21</v>
      </c>
      <c r="AS34" s="48">
        <v>48853.65</v>
      </c>
      <c r="AT34" s="48">
        <v>0</v>
      </c>
      <c r="AU34" s="48">
        <v>40924.080000000002</v>
      </c>
      <c r="AV34" s="48">
        <v>8592.2800000000007</v>
      </c>
      <c r="AW34" s="48">
        <v>3170.32</v>
      </c>
      <c r="AX34" s="48">
        <v>346.04</v>
      </c>
      <c r="AY34" s="48">
        <v>0</v>
      </c>
      <c r="AZ34" s="48">
        <v>9513.41</v>
      </c>
      <c r="BA34" s="48">
        <v>0</v>
      </c>
      <c r="BB34" s="48">
        <v>4649.95</v>
      </c>
      <c r="BC34" s="48">
        <v>3119.77</v>
      </c>
      <c r="BD34" s="48">
        <v>29525.47</v>
      </c>
      <c r="BE34" s="48">
        <v>30464</v>
      </c>
      <c r="BF34" s="48">
        <v>7630.88</v>
      </c>
      <c r="BG34" s="48">
        <v>63180.88</v>
      </c>
      <c r="BH34" s="48">
        <v>8334.24</v>
      </c>
      <c r="BI34" s="48">
        <v>0</v>
      </c>
      <c r="BJ34" s="48">
        <v>9927.65</v>
      </c>
      <c r="BK34" s="48">
        <v>6678.57</v>
      </c>
      <c r="BL34" s="48">
        <v>14723.38</v>
      </c>
      <c r="BM34" s="48">
        <v>52942.68</v>
      </c>
      <c r="BN34" s="48">
        <v>912.5</v>
      </c>
      <c r="BO34" s="48">
        <v>48767.49</v>
      </c>
      <c r="BP34" s="48">
        <v>38944.379999999997</v>
      </c>
      <c r="BQ34" s="48">
        <v>0</v>
      </c>
      <c r="BR34" s="48">
        <v>0</v>
      </c>
      <c r="BS34" s="48">
        <v>0</v>
      </c>
      <c r="BT34" s="48">
        <v>0</v>
      </c>
      <c r="BU34" s="48">
        <v>0</v>
      </c>
      <c r="BV34" s="48">
        <v>7073.5</v>
      </c>
      <c r="BW34" s="48">
        <v>0</v>
      </c>
      <c r="BX34" s="48">
        <v>0</v>
      </c>
      <c r="BY34" s="48">
        <v>1</v>
      </c>
      <c r="BZ34" s="48">
        <v>0</v>
      </c>
      <c r="CA34" s="453">
        <v>0</v>
      </c>
      <c r="CB34" s="454"/>
      <c r="CC34" s="48">
        <v>0</v>
      </c>
      <c r="CD34" s="48">
        <v>6189</v>
      </c>
      <c r="CE34" s="48">
        <v>74934</v>
      </c>
      <c r="CF34" s="48">
        <v>226</v>
      </c>
      <c r="CG34" s="48">
        <v>885</v>
      </c>
      <c r="CH34" s="48">
        <v>0</v>
      </c>
      <c r="CI34" s="48">
        <v>0</v>
      </c>
      <c r="CJ34" s="49">
        <v>0</v>
      </c>
      <c r="CK34" s="50">
        <f t="shared" si="0"/>
        <v>75160</v>
      </c>
      <c r="CL34" s="50">
        <f t="shared" si="1"/>
        <v>885</v>
      </c>
    </row>
    <row r="35" spans="1:90" ht="25.5">
      <c r="A35" s="48">
        <v>302</v>
      </c>
      <c r="B35" s="48">
        <v>2053</v>
      </c>
      <c r="C35" s="48" t="s">
        <v>395</v>
      </c>
      <c r="D35" s="48" t="s">
        <v>441</v>
      </c>
      <c r="E35" s="48"/>
      <c r="F35" s="48" t="s">
        <v>435</v>
      </c>
      <c r="G35" s="48">
        <v>0</v>
      </c>
      <c r="H35" s="48">
        <v>1</v>
      </c>
      <c r="I35" s="48" t="s">
        <v>436</v>
      </c>
      <c r="J35" s="48" t="s">
        <v>437</v>
      </c>
      <c r="K35" s="48" t="s">
        <v>438</v>
      </c>
      <c r="L35" s="48" t="s">
        <v>439</v>
      </c>
      <c r="M35" s="48" t="s">
        <v>438</v>
      </c>
      <c r="N35" s="48" t="s">
        <v>440</v>
      </c>
      <c r="O35" s="48" t="s">
        <v>181</v>
      </c>
      <c r="P35" s="48" t="s">
        <v>181</v>
      </c>
      <c r="Q35" s="48">
        <v>58850.23</v>
      </c>
      <c r="R35" s="48">
        <v>0</v>
      </c>
      <c r="S35" s="48">
        <v>0</v>
      </c>
      <c r="T35" s="48">
        <v>1036791.52</v>
      </c>
      <c r="U35" s="48">
        <v>0</v>
      </c>
      <c r="V35" s="48">
        <v>28560.19</v>
      </c>
      <c r="W35" s="48">
        <v>0</v>
      </c>
      <c r="X35" s="48">
        <v>2690.01</v>
      </c>
      <c r="Y35" s="48">
        <v>50212.58</v>
      </c>
      <c r="Z35" s="48">
        <v>0</v>
      </c>
      <c r="AA35" s="48">
        <v>7863.46</v>
      </c>
      <c r="AB35" s="48">
        <v>0</v>
      </c>
      <c r="AC35" s="48">
        <v>6481.44</v>
      </c>
      <c r="AD35" s="48">
        <v>0</v>
      </c>
      <c r="AE35" s="48">
        <v>0</v>
      </c>
      <c r="AF35" s="48">
        <v>6917.4</v>
      </c>
      <c r="AG35" s="48">
        <v>445164.55</v>
      </c>
      <c r="AH35" s="48">
        <v>0</v>
      </c>
      <c r="AI35" s="48">
        <v>0</v>
      </c>
      <c r="AJ35" s="48">
        <v>0</v>
      </c>
      <c r="AK35" s="48">
        <v>0</v>
      </c>
      <c r="AL35" s="48">
        <v>0</v>
      </c>
      <c r="AM35" s="48">
        <v>9178.1200000000008</v>
      </c>
      <c r="AN35" s="48">
        <v>57927.33</v>
      </c>
      <c r="AO35" s="48">
        <v>607530.94999999995</v>
      </c>
      <c r="AP35" s="48">
        <v>8962.2000000000007</v>
      </c>
      <c r="AQ35" s="48">
        <v>577822.25</v>
      </c>
      <c r="AR35" s="48">
        <v>0</v>
      </c>
      <c r="AS35" s="48">
        <v>114978.32</v>
      </c>
      <c r="AT35" s="48">
        <v>0</v>
      </c>
      <c r="AU35" s="48">
        <v>6876</v>
      </c>
      <c r="AV35" s="48">
        <v>4992.05</v>
      </c>
      <c r="AW35" s="48">
        <v>3802.64</v>
      </c>
      <c r="AX35" s="48">
        <v>323.08</v>
      </c>
      <c r="AY35" s="48">
        <v>0</v>
      </c>
      <c r="AZ35" s="48">
        <v>15260.69</v>
      </c>
      <c r="BA35" s="48">
        <v>360</v>
      </c>
      <c r="BB35" s="48">
        <v>47566.63</v>
      </c>
      <c r="BC35" s="48">
        <v>1413.66</v>
      </c>
      <c r="BD35" s="48">
        <v>16746.38</v>
      </c>
      <c r="BE35" s="48">
        <v>18044.310000000001</v>
      </c>
      <c r="BF35" s="48">
        <v>63684.49</v>
      </c>
      <c r="BG35" s="48">
        <v>65129.34</v>
      </c>
      <c r="BH35" s="48">
        <v>27240.01</v>
      </c>
      <c r="BI35" s="48">
        <v>0</v>
      </c>
      <c r="BJ35" s="48">
        <v>12730.87</v>
      </c>
      <c r="BK35" s="48">
        <v>9316.39</v>
      </c>
      <c r="BL35" s="48">
        <v>641.67999999999995</v>
      </c>
      <c r="BM35" s="48">
        <v>43179.71</v>
      </c>
      <c r="BN35" s="48">
        <v>5296.3</v>
      </c>
      <c r="BO35" s="48">
        <v>24264.76</v>
      </c>
      <c r="BP35" s="48">
        <v>24408.31</v>
      </c>
      <c r="BQ35" s="48">
        <v>0</v>
      </c>
      <c r="BR35" s="48">
        <v>0</v>
      </c>
      <c r="BS35" s="48">
        <v>0</v>
      </c>
      <c r="BT35" s="48">
        <v>0</v>
      </c>
      <c r="BU35" s="48">
        <v>0</v>
      </c>
      <c r="BV35" s="48">
        <v>0</v>
      </c>
      <c r="BW35" s="48">
        <v>0</v>
      </c>
      <c r="BX35" s="48">
        <v>0</v>
      </c>
      <c r="BY35" s="48">
        <v>1</v>
      </c>
      <c r="BZ35" s="48">
        <v>0</v>
      </c>
      <c r="CA35" s="453">
        <v>0</v>
      </c>
      <c r="CB35" s="454"/>
      <c r="CC35" s="48">
        <v>0</v>
      </c>
      <c r="CD35" s="48">
        <v>0</v>
      </c>
      <c r="CE35" s="48">
        <v>10066</v>
      </c>
      <c r="CF35" s="48">
        <v>0</v>
      </c>
      <c r="CG35" s="48">
        <v>0</v>
      </c>
      <c r="CH35" s="48">
        <v>0</v>
      </c>
      <c r="CI35" s="48">
        <v>0</v>
      </c>
      <c r="CJ35" s="49">
        <v>0</v>
      </c>
      <c r="CK35" s="50">
        <f t="shared" si="0"/>
        <v>10066</v>
      </c>
      <c r="CL35" s="50">
        <f t="shared" si="1"/>
        <v>0</v>
      </c>
    </row>
    <row r="36" spans="1:90">
      <c r="A36" s="48">
        <v>302</v>
      </c>
      <c r="B36" s="48">
        <v>2054</v>
      </c>
      <c r="C36" s="48" t="s">
        <v>447</v>
      </c>
      <c r="D36" s="48" t="s">
        <v>441</v>
      </c>
      <c r="E36" s="48"/>
      <c r="F36" s="48" t="s">
        <v>435</v>
      </c>
      <c r="G36" s="48">
        <v>0</v>
      </c>
      <c r="H36" s="48">
        <v>0</v>
      </c>
      <c r="I36" s="48" t="s">
        <v>436</v>
      </c>
      <c r="J36" s="48" t="s">
        <v>437</v>
      </c>
      <c r="K36" s="48" t="s">
        <v>438</v>
      </c>
      <c r="L36" s="48" t="s">
        <v>439</v>
      </c>
      <c r="M36" s="48" t="s">
        <v>438</v>
      </c>
      <c r="N36" s="48" t="s">
        <v>440</v>
      </c>
      <c r="O36" s="48" t="s">
        <v>181</v>
      </c>
      <c r="P36" s="48" t="s">
        <v>181</v>
      </c>
      <c r="Q36" s="48">
        <v>100713.34</v>
      </c>
      <c r="R36" s="48">
        <v>0</v>
      </c>
      <c r="S36" s="48">
        <v>10447.5</v>
      </c>
      <c r="T36" s="48">
        <v>952215.82</v>
      </c>
      <c r="U36" s="48">
        <v>0</v>
      </c>
      <c r="V36" s="48">
        <v>57526.42</v>
      </c>
      <c r="W36" s="48">
        <v>0</v>
      </c>
      <c r="X36" s="48">
        <v>16140</v>
      </c>
      <c r="Y36" s="48">
        <v>0</v>
      </c>
      <c r="Z36" s="48">
        <v>900</v>
      </c>
      <c r="AA36" s="48">
        <v>45516</v>
      </c>
      <c r="AB36" s="48">
        <v>22768.23</v>
      </c>
      <c r="AC36" s="48">
        <v>28750.71</v>
      </c>
      <c r="AD36" s="48">
        <v>5000</v>
      </c>
      <c r="AE36" s="48">
        <v>0</v>
      </c>
      <c r="AF36" s="48">
        <v>39480.910000000003</v>
      </c>
      <c r="AG36" s="48">
        <v>31710.27</v>
      </c>
      <c r="AH36" s="48">
        <v>0</v>
      </c>
      <c r="AI36" s="48">
        <v>0</v>
      </c>
      <c r="AJ36" s="48">
        <v>0</v>
      </c>
      <c r="AK36" s="48">
        <v>0</v>
      </c>
      <c r="AL36" s="48">
        <v>1709</v>
      </c>
      <c r="AM36" s="48">
        <v>6900</v>
      </c>
      <c r="AN36" s="48">
        <v>50045</v>
      </c>
      <c r="AO36" s="48">
        <v>579134.56000000006</v>
      </c>
      <c r="AP36" s="48">
        <v>2419.3200000000002</v>
      </c>
      <c r="AQ36" s="48">
        <v>149642.14000000001</v>
      </c>
      <c r="AR36" s="48">
        <v>35764.54</v>
      </c>
      <c r="AS36" s="48">
        <v>62572.639999999999</v>
      </c>
      <c r="AT36" s="48">
        <v>0</v>
      </c>
      <c r="AU36" s="48">
        <v>42080.71</v>
      </c>
      <c r="AV36" s="48">
        <v>6607.33</v>
      </c>
      <c r="AW36" s="48">
        <v>875</v>
      </c>
      <c r="AX36" s="48">
        <v>4958.4799999999996</v>
      </c>
      <c r="AY36" s="48">
        <v>775</v>
      </c>
      <c r="AZ36" s="48">
        <v>15580.73</v>
      </c>
      <c r="BA36" s="48">
        <v>2227.8000000000002</v>
      </c>
      <c r="BB36" s="48">
        <v>16188.43</v>
      </c>
      <c r="BC36" s="48">
        <v>2864.51</v>
      </c>
      <c r="BD36" s="48">
        <v>16093.53</v>
      </c>
      <c r="BE36" s="48">
        <v>19086.75</v>
      </c>
      <c r="BF36" s="48">
        <v>10093.82</v>
      </c>
      <c r="BG36" s="48">
        <v>39615.910000000003</v>
      </c>
      <c r="BH36" s="48">
        <v>12967</v>
      </c>
      <c r="BI36" s="48">
        <v>0</v>
      </c>
      <c r="BJ36" s="48">
        <v>8902.0400000000009</v>
      </c>
      <c r="BK36" s="48">
        <v>4956.09</v>
      </c>
      <c r="BL36" s="48">
        <v>6549.5</v>
      </c>
      <c r="BM36" s="48">
        <v>58431.93</v>
      </c>
      <c r="BN36" s="48">
        <v>14833.73</v>
      </c>
      <c r="BO36" s="48">
        <v>124621.1</v>
      </c>
      <c r="BP36" s="48">
        <v>18306</v>
      </c>
      <c r="BQ36" s="48">
        <v>0</v>
      </c>
      <c r="BR36" s="48">
        <v>0</v>
      </c>
      <c r="BS36" s="48">
        <v>0</v>
      </c>
      <c r="BT36" s="48">
        <v>0</v>
      </c>
      <c r="BU36" s="48">
        <v>0</v>
      </c>
      <c r="BV36" s="48">
        <v>6340</v>
      </c>
      <c r="BW36" s="48">
        <v>0</v>
      </c>
      <c r="BX36" s="48">
        <v>0</v>
      </c>
      <c r="BY36" s="48">
        <v>1</v>
      </c>
      <c r="BZ36" s="48">
        <v>0</v>
      </c>
      <c r="CA36" s="453">
        <v>0</v>
      </c>
      <c r="CB36" s="454"/>
      <c r="CC36" s="48">
        <v>0</v>
      </c>
      <c r="CD36" s="48">
        <v>6730</v>
      </c>
      <c r="CE36" s="48">
        <v>42740</v>
      </c>
      <c r="CF36" s="48">
        <v>60487</v>
      </c>
      <c r="CG36" s="48">
        <v>10058</v>
      </c>
      <c r="CH36" s="48">
        <v>0</v>
      </c>
      <c r="CI36" s="48">
        <v>0</v>
      </c>
      <c r="CJ36" s="49">
        <v>0</v>
      </c>
      <c r="CK36" s="50">
        <f t="shared" si="0"/>
        <v>103227</v>
      </c>
      <c r="CL36" s="50">
        <f t="shared" si="1"/>
        <v>10058</v>
      </c>
    </row>
    <row r="37" spans="1:90">
      <c r="A37" s="48">
        <v>302</v>
      </c>
      <c r="B37" s="48">
        <v>2055</v>
      </c>
      <c r="C37" s="48" t="s">
        <v>104</v>
      </c>
      <c r="D37" s="48" t="s">
        <v>441</v>
      </c>
      <c r="E37" s="48"/>
      <c r="F37" s="48" t="s">
        <v>435</v>
      </c>
      <c r="G37" s="48">
        <v>0</v>
      </c>
      <c r="H37" s="48">
        <v>1</v>
      </c>
      <c r="I37" s="48" t="s">
        <v>436</v>
      </c>
      <c r="J37" s="48" t="s">
        <v>437</v>
      </c>
      <c r="K37" s="48" t="s">
        <v>438</v>
      </c>
      <c r="L37" s="48" t="s">
        <v>439</v>
      </c>
      <c r="M37" s="48" t="s">
        <v>438</v>
      </c>
      <c r="N37" s="48" t="s">
        <v>440</v>
      </c>
      <c r="O37" s="48" t="s">
        <v>181</v>
      </c>
      <c r="P37" s="48" t="s">
        <v>181</v>
      </c>
      <c r="Q37" s="48">
        <v>-64430.86</v>
      </c>
      <c r="R37" s="48">
        <v>0</v>
      </c>
      <c r="S37" s="48">
        <v>13111</v>
      </c>
      <c r="T37" s="48">
        <v>1194319.03</v>
      </c>
      <c r="U37" s="48">
        <v>0</v>
      </c>
      <c r="V37" s="48">
        <v>67623.070000000007</v>
      </c>
      <c r="W37" s="48">
        <v>0</v>
      </c>
      <c r="X37" s="48">
        <v>103565.04</v>
      </c>
      <c r="Y37" s="48">
        <v>7500</v>
      </c>
      <c r="Z37" s="48">
        <v>4497.95</v>
      </c>
      <c r="AA37" s="48">
        <v>16275</v>
      </c>
      <c r="AB37" s="48">
        <v>13858.51</v>
      </c>
      <c r="AC37" s="48">
        <v>12746.73</v>
      </c>
      <c r="AD37" s="48">
        <v>0</v>
      </c>
      <c r="AE37" s="48">
        <v>5571.6</v>
      </c>
      <c r="AF37" s="48">
        <v>2873.74</v>
      </c>
      <c r="AG37" s="48">
        <v>3456.44</v>
      </c>
      <c r="AH37" s="48">
        <v>0</v>
      </c>
      <c r="AI37" s="48">
        <v>0</v>
      </c>
      <c r="AJ37" s="48">
        <v>0</v>
      </c>
      <c r="AK37" s="48">
        <v>0</v>
      </c>
      <c r="AL37" s="48">
        <v>0</v>
      </c>
      <c r="AM37" s="48">
        <v>31041</v>
      </c>
      <c r="AN37" s="48">
        <v>43082.67</v>
      </c>
      <c r="AO37" s="48">
        <v>692741.23</v>
      </c>
      <c r="AP37" s="48">
        <v>0</v>
      </c>
      <c r="AQ37" s="48">
        <v>272640.46999999997</v>
      </c>
      <c r="AR37" s="48">
        <v>17958.439999999999</v>
      </c>
      <c r="AS37" s="48">
        <v>59882.96</v>
      </c>
      <c r="AT37" s="48">
        <v>0</v>
      </c>
      <c r="AU37" s="48">
        <v>42343.42</v>
      </c>
      <c r="AV37" s="48">
        <v>11998.09</v>
      </c>
      <c r="AW37" s="48">
        <v>1700</v>
      </c>
      <c r="AX37" s="48">
        <v>328</v>
      </c>
      <c r="AY37" s="48">
        <v>541</v>
      </c>
      <c r="AZ37" s="48">
        <v>9047.85</v>
      </c>
      <c r="BA37" s="48">
        <v>4353.1000000000004</v>
      </c>
      <c r="BB37" s="48">
        <v>26344.02</v>
      </c>
      <c r="BC37" s="48">
        <v>6868.79</v>
      </c>
      <c r="BD37" s="48">
        <v>26276.560000000001</v>
      </c>
      <c r="BE37" s="48">
        <v>26112</v>
      </c>
      <c r="BF37" s="48">
        <v>11374.73</v>
      </c>
      <c r="BG37" s="48">
        <v>24301.94</v>
      </c>
      <c r="BH37" s="48">
        <v>8361.44</v>
      </c>
      <c r="BI37" s="48">
        <v>0</v>
      </c>
      <c r="BJ37" s="48">
        <v>12309.3</v>
      </c>
      <c r="BK37" s="48">
        <v>5774</v>
      </c>
      <c r="BL37" s="48">
        <v>9153.73</v>
      </c>
      <c r="BM37" s="48">
        <v>61852.7</v>
      </c>
      <c r="BN37" s="48">
        <v>50091.35</v>
      </c>
      <c r="BO37" s="48">
        <v>122387.98</v>
      </c>
      <c r="BP37" s="48">
        <v>36507.71</v>
      </c>
      <c r="BQ37" s="48">
        <v>0</v>
      </c>
      <c r="BR37" s="48">
        <v>0</v>
      </c>
      <c r="BS37" s="48">
        <v>0</v>
      </c>
      <c r="BT37" s="48">
        <v>0</v>
      </c>
      <c r="BU37" s="48">
        <v>0</v>
      </c>
      <c r="BV37" s="48">
        <v>6614</v>
      </c>
      <c r="BW37" s="48">
        <v>0</v>
      </c>
      <c r="BX37" s="48">
        <v>0</v>
      </c>
      <c r="BY37" s="48">
        <v>1</v>
      </c>
      <c r="BZ37" s="48">
        <v>0</v>
      </c>
      <c r="CA37" s="453">
        <v>0</v>
      </c>
      <c r="CB37" s="454"/>
      <c r="CC37" s="48">
        <v>0</v>
      </c>
      <c r="CD37" s="48">
        <v>0</v>
      </c>
      <c r="CE37" s="48">
        <v>0</v>
      </c>
      <c r="CF37" s="48">
        <v>-99271</v>
      </c>
      <c r="CG37" s="48">
        <v>19725</v>
      </c>
      <c r="CH37" s="48">
        <v>0</v>
      </c>
      <c r="CI37" s="48">
        <v>0</v>
      </c>
      <c r="CJ37" s="49">
        <v>0</v>
      </c>
      <c r="CK37" s="50">
        <f t="shared" si="0"/>
        <v>-99271</v>
      </c>
      <c r="CL37" s="50">
        <f t="shared" si="1"/>
        <v>19725</v>
      </c>
    </row>
    <row r="38" spans="1:90" ht="25.5">
      <c r="A38" s="48">
        <v>302</v>
      </c>
      <c r="B38" s="48">
        <v>2057</v>
      </c>
      <c r="C38" s="48" t="s">
        <v>356</v>
      </c>
      <c r="D38" s="48" t="s">
        <v>441</v>
      </c>
      <c r="E38" s="48"/>
      <c r="F38" s="48" t="s">
        <v>435</v>
      </c>
      <c r="G38" s="48">
        <v>0</v>
      </c>
      <c r="H38" s="48">
        <v>1</v>
      </c>
      <c r="I38" s="48" t="s">
        <v>436</v>
      </c>
      <c r="J38" s="48" t="s">
        <v>437</v>
      </c>
      <c r="K38" s="48" t="s">
        <v>438</v>
      </c>
      <c r="L38" s="48" t="s">
        <v>439</v>
      </c>
      <c r="M38" s="48" t="s">
        <v>438</v>
      </c>
      <c r="N38" s="48" t="s">
        <v>440</v>
      </c>
      <c r="O38" s="48" t="s">
        <v>181</v>
      </c>
      <c r="P38" s="48" t="s">
        <v>181</v>
      </c>
      <c r="Q38" s="48">
        <v>105702.15</v>
      </c>
      <c r="R38" s="48">
        <v>18104.849999999999</v>
      </c>
      <c r="S38" s="48">
        <v>27664</v>
      </c>
      <c r="T38" s="48">
        <v>2443320.9300000002</v>
      </c>
      <c r="U38" s="48">
        <v>0</v>
      </c>
      <c r="V38" s="48">
        <v>172899.32</v>
      </c>
      <c r="W38" s="48">
        <v>0</v>
      </c>
      <c r="X38" s="48">
        <v>246685.18</v>
      </c>
      <c r="Y38" s="48">
        <v>5125</v>
      </c>
      <c r="Z38" s="48">
        <v>1000</v>
      </c>
      <c r="AA38" s="48">
        <v>15494.59</v>
      </c>
      <c r="AB38" s="48">
        <v>72160.91</v>
      </c>
      <c r="AC38" s="48">
        <v>24489.03</v>
      </c>
      <c r="AD38" s="48">
        <v>4968</v>
      </c>
      <c r="AE38" s="48">
        <v>4288</v>
      </c>
      <c r="AF38" s="48">
        <v>12810.43</v>
      </c>
      <c r="AG38" s="48">
        <v>10354.879999999999</v>
      </c>
      <c r="AH38" s="48">
        <v>0</v>
      </c>
      <c r="AI38" s="48">
        <v>187416</v>
      </c>
      <c r="AJ38" s="48">
        <v>0</v>
      </c>
      <c r="AK38" s="48">
        <v>0</v>
      </c>
      <c r="AL38" s="48">
        <v>0</v>
      </c>
      <c r="AM38" s="48">
        <v>21521.25</v>
      </c>
      <c r="AN38" s="48">
        <v>55720.88</v>
      </c>
      <c r="AO38" s="48">
        <v>1301356.22</v>
      </c>
      <c r="AP38" s="48">
        <v>0</v>
      </c>
      <c r="AQ38" s="48">
        <v>943685.93</v>
      </c>
      <c r="AR38" s="48">
        <v>70946.8</v>
      </c>
      <c r="AS38" s="48">
        <v>105956.06</v>
      </c>
      <c r="AT38" s="48">
        <v>0</v>
      </c>
      <c r="AU38" s="48">
        <v>104281.91</v>
      </c>
      <c r="AV38" s="48">
        <v>18779.82</v>
      </c>
      <c r="AW38" s="48">
        <v>2080</v>
      </c>
      <c r="AX38" s="48">
        <v>20375.689999999999</v>
      </c>
      <c r="AY38" s="48">
        <v>0</v>
      </c>
      <c r="AZ38" s="48">
        <v>22421.09</v>
      </c>
      <c r="BA38" s="48">
        <v>8262</v>
      </c>
      <c r="BB38" s="48">
        <v>10516.73</v>
      </c>
      <c r="BC38" s="48">
        <v>-11711.91</v>
      </c>
      <c r="BD38" s="48">
        <v>33123.699999999997</v>
      </c>
      <c r="BE38" s="48">
        <v>56392</v>
      </c>
      <c r="BF38" s="48">
        <v>12949.94</v>
      </c>
      <c r="BG38" s="48">
        <v>53639.199999999997</v>
      </c>
      <c r="BH38" s="48">
        <v>10591.62</v>
      </c>
      <c r="BI38" s="48">
        <v>0</v>
      </c>
      <c r="BJ38" s="48">
        <v>24095.93</v>
      </c>
      <c r="BK38" s="48">
        <v>11007.88</v>
      </c>
      <c r="BL38" s="48">
        <v>26872.87</v>
      </c>
      <c r="BM38" s="48">
        <v>95552.15</v>
      </c>
      <c r="BN38" s="48">
        <v>98738.99</v>
      </c>
      <c r="BO38" s="48">
        <v>116665.59</v>
      </c>
      <c r="BP38" s="48">
        <v>27512.48</v>
      </c>
      <c r="BQ38" s="48">
        <v>0</v>
      </c>
      <c r="BR38" s="48">
        <v>0</v>
      </c>
      <c r="BS38" s="48">
        <v>0</v>
      </c>
      <c r="BT38" s="48">
        <v>135472.41</v>
      </c>
      <c r="BU38" s="48">
        <v>49049.21</v>
      </c>
      <c r="BV38" s="48">
        <v>9616.23</v>
      </c>
      <c r="BW38" s="48">
        <v>0</v>
      </c>
      <c r="BX38" s="48">
        <v>0</v>
      </c>
      <c r="BY38" s="48">
        <v>1</v>
      </c>
      <c r="BZ38" s="48">
        <v>0</v>
      </c>
      <c r="CA38" s="453">
        <v>6287.82</v>
      </c>
      <c r="CB38" s="454"/>
      <c r="CC38" s="48">
        <v>0</v>
      </c>
      <c r="CD38" s="48">
        <v>17548.54</v>
      </c>
      <c r="CE38" s="48">
        <v>4573</v>
      </c>
      <c r="CF38" s="48">
        <v>27875</v>
      </c>
      <c r="CG38" s="48">
        <v>13444</v>
      </c>
      <c r="CH38" s="48">
        <v>0</v>
      </c>
      <c r="CI38" s="48">
        <v>20999</v>
      </c>
      <c r="CJ38" s="49">
        <v>0</v>
      </c>
      <c r="CK38" s="50">
        <f t="shared" si="0"/>
        <v>53447</v>
      </c>
      <c r="CL38" s="50">
        <f t="shared" si="1"/>
        <v>13444</v>
      </c>
    </row>
    <row r="39" spans="1:90">
      <c r="A39" s="48">
        <v>302</v>
      </c>
      <c r="B39" s="48">
        <v>2060</v>
      </c>
      <c r="C39" s="48" t="s">
        <v>448</v>
      </c>
      <c r="D39" s="48" t="s">
        <v>441</v>
      </c>
      <c r="E39" s="48"/>
      <c r="F39" s="48" t="s">
        <v>435</v>
      </c>
      <c r="G39" s="48">
        <v>0</v>
      </c>
      <c r="H39" s="48">
        <v>0</v>
      </c>
      <c r="I39" s="48" t="s">
        <v>436</v>
      </c>
      <c r="J39" s="48" t="s">
        <v>437</v>
      </c>
      <c r="K39" s="48" t="s">
        <v>438</v>
      </c>
      <c r="L39" s="48" t="s">
        <v>439</v>
      </c>
      <c r="M39" s="48" t="s">
        <v>438</v>
      </c>
      <c r="N39" s="48" t="s">
        <v>440</v>
      </c>
      <c r="O39" s="48" t="s">
        <v>181</v>
      </c>
      <c r="P39" s="48" t="s">
        <v>181</v>
      </c>
      <c r="Q39" s="48">
        <v>20933.150000000001</v>
      </c>
      <c r="R39" s="48">
        <v>0</v>
      </c>
      <c r="S39" s="48">
        <v>23213.5</v>
      </c>
      <c r="T39" s="48">
        <v>2593740.79</v>
      </c>
      <c r="U39" s="48">
        <v>0</v>
      </c>
      <c r="V39" s="48">
        <v>135407.31</v>
      </c>
      <c r="W39" s="48">
        <v>0</v>
      </c>
      <c r="X39" s="48">
        <v>184534.97</v>
      </c>
      <c r="Y39" s="48">
        <v>2500</v>
      </c>
      <c r="Z39" s="48">
        <v>14718.07</v>
      </c>
      <c r="AA39" s="48">
        <v>101136.9</v>
      </c>
      <c r="AB39" s="48">
        <v>51073.97</v>
      </c>
      <c r="AC39" s="48">
        <v>22769.040000000001</v>
      </c>
      <c r="AD39" s="48">
        <v>0</v>
      </c>
      <c r="AE39" s="48">
        <v>0</v>
      </c>
      <c r="AF39" s="48">
        <v>13077.22</v>
      </c>
      <c r="AG39" s="48">
        <v>3097.25</v>
      </c>
      <c r="AH39" s="48">
        <v>0</v>
      </c>
      <c r="AI39" s="48">
        <v>0</v>
      </c>
      <c r="AJ39" s="48">
        <v>0</v>
      </c>
      <c r="AK39" s="48">
        <v>0</v>
      </c>
      <c r="AL39" s="48">
        <v>0</v>
      </c>
      <c r="AM39" s="48">
        <v>32630</v>
      </c>
      <c r="AN39" s="48">
        <v>71263.5</v>
      </c>
      <c r="AO39" s="48">
        <v>1369033.97</v>
      </c>
      <c r="AP39" s="48">
        <v>0</v>
      </c>
      <c r="AQ39" s="48">
        <v>750622.8</v>
      </c>
      <c r="AR39" s="48">
        <v>74279.179999999993</v>
      </c>
      <c r="AS39" s="48">
        <v>98351.6</v>
      </c>
      <c r="AT39" s="48">
        <v>0</v>
      </c>
      <c r="AU39" s="48">
        <v>91020.2</v>
      </c>
      <c r="AV39" s="48">
        <v>16630.169999999998</v>
      </c>
      <c r="AW39" s="48">
        <v>5605.59</v>
      </c>
      <c r="AX39" s="48">
        <v>690.44</v>
      </c>
      <c r="AY39" s="48">
        <v>0</v>
      </c>
      <c r="AZ39" s="48">
        <v>55199.839999999997</v>
      </c>
      <c r="BA39" s="48">
        <v>9758.75</v>
      </c>
      <c r="BB39" s="48">
        <v>40621.74</v>
      </c>
      <c r="BC39" s="48">
        <v>15188.94</v>
      </c>
      <c r="BD39" s="48">
        <v>82414.009999999995</v>
      </c>
      <c r="BE39" s="48">
        <v>112080</v>
      </c>
      <c r="BF39" s="48">
        <v>12747.42</v>
      </c>
      <c r="BG39" s="48">
        <v>117274.22</v>
      </c>
      <c r="BH39" s="48">
        <v>16784.580000000002</v>
      </c>
      <c r="BI39" s="48">
        <v>0</v>
      </c>
      <c r="BJ39" s="48">
        <v>14560.13</v>
      </c>
      <c r="BK39" s="48">
        <v>13871.27</v>
      </c>
      <c r="BL39" s="48">
        <v>4394.2</v>
      </c>
      <c r="BM39" s="48">
        <v>107338.1</v>
      </c>
      <c r="BN39" s="48">
        <v>48525.03</v>
      </c>
      <c r="BO39" s="48">
        <v>50252.55</v>
      </c>
      <c r="BP39" s="48">
        <v>51184.04</v>
      </c>
      <c r="BQ39" s="48">
        <v>0</v>
      </c>
      <c r="BR39" s="48">
        <v>0</v>
      </c>
      <c r="BS39" s="48">
        <v>0</v>
      </c>
      <c r="BT39" s="48">
        <v>0</v>
      </c>
      <c r="BU39" s="48">
        <v>0</v>
      </c>
      <c r="BV39" s="48">
        <v>9226.75</v>
      </c>
      <c r="BW39" s="48">
        <v>0</v>
      </c>
      <c r="BX39" s="48">
        <v>0</v>
      </c>
      <c r="BY39" s="48">
        <v>1</v>
      </c>
      <c r="BZ39" s="48">
        <v>0</v>
      </c>
      <c r="CA39" s="453">
        <v>0</v>
      </c>
      <c r="CB39" s="454"/>
      <c r="CC39" s="48">
        <v>0</v>
      </c>
      <c r="CD39" s="48">
        <v>13610</v>
      </c>
      <c r="CE39" s="48">
        <v>88453</v>
      </c>
      <c r="CF39" s="48">
        <v>0</v>
      </c>
      <c r="CG39" s="48">
        <v>18830</v>
      </c>
      <c r="CH39" s="48">
        <v>0</v>
      </c>
      <c r="CI39" s="48">
        <v>0</v>
      </c>
      <c r="CJ39" s="49">
        <v>0</v>
      </c>
      <c r="CK39" s="50">
        <f t="shared" si="0"/>
        <v>88453</v>
      </c>
      <c r="CL39" s="50">
        <f t="shared" si="1"/>
        <v>18830</v>
      </c>
    </row>
    <row r="40" spans="1:90" ht="25.5">
      <c r="A40" s="48">
        <v>302</v>
      </c>
      <c r="B40" s="48">
        <v>2067</v>
      </c>
      <c r="C40" s="48" t="s">
        <v>43</v>
      </c>
      <c r="D40" s="48" t="s">
        <v>441</v>
      </c>
      <c r="E40" s="48"/>
      <c r="F40" s="48" t="s">
        <v>435</v>
      </c>
      <c r="G40" s="48">
        <v>0</v>
      </c>
      <c r="H40" s="48">
        <v>0</v>
      </c>
      <c r="I40" s="48" t="s">
        <v>436</v>
      </c>
      <c r="J40" s="48" t="s">
        <v>437</v>
      </c>
      <c r="K40" s="48" t="s">
        <v>438</v>
      </c>
      <c r="L40" s="48" t="s">
        <v>439</v>
      </c>
      <c r="M40" s="48" t="s">
        <v>438</v>
      </c>
      <c r="N40" s="48" t="s">
        <v>440</v>
      </c>
      <c r="O40" s="48" t="s">
        <v>181</v>
      </c>
      <c r="P40" s="48" t="s">
        <v>181</v>
      </c>
      <c r="Q40" s="48">
        <v>37788.300000000003</v>
      </c>
      <c r="R40" s="48">
        <v>0</v>
      </c>
      <c r="S40" s="48">
        <v>0.08</v>
      </c>
      <c r="T40" s="48">
        <v>1253588.99</v>
      </c>
      <c r="U40" s="48">
        <v>0</v>
      </c>
      <c r="V40" s="48">
        <v>284767.93</v>
      </c>
      <c r="W40" s="48">
        <v>0</v>
      </c>
      <c r="X40" s="48">
        <v>76664.97</v>
      </c>
      <c r="Y40" s="48">
        <v>192.2</v>
      </c>
      <c r="Z40" s="48">
        <v>44778.18</v>
      </c>
      <c r="AA40" s="48">
        <v>10023.9</v>
      </c>
      <c r="AB40" s="48">
        <v>12075.97</v>
      </c>
      <c r="AC40" s="48">
        <v>20216.419999999998</v>
      </c>
      <c r="AD40" s="48">
        <v>0</v>
      </c>
      <c r="AE40" s="48">
        <v>0</v>
      </c>
      <c r="AF40" s="48">
        <v>6910</v>
      </c>
      <c r="AG40" s="48">
        <v>9185.41</v>
      </c>
      <c r="AH40" s="48">
        <v>0</v>
      </c>
      <c r="AI40" s="48">
        <v>0</v>
      </c>
      <c r="AJ40" s="48">
        <v>0</v>
      </c>
      <c r="AK40" s="48">
        <v>0</v>
      </c>
      <c r="AL40" s="48">
        <v>0</v>
      </c>
      <c r="AM40" s="48">
        <v>0</v>
      </c>
      <c r="AN40" s="48">
        <v>63411.01</v>
      </c>
      <c r="AO40" s="48">
        <v>843217.87</v>
      </c>
      <c r="AP40" s="48">
        <v>0</v>
      </c>
      <c r="AQ40" s="48">
        <v>379484.56</v>
      </c>
      <c r="AR40" s="48">
        <v>22395.67</v>
      </c>
      <c r="AS40" s="48">
        <v>56550.21</v>
      </c>
      <c r="AT40" s="48">
        <v>0</v>
      </c>
      <c r="AU40" s="48">
        <v>9948.3799999999992</v>
      </c>
      <c r="AV40" s="48">
        <v>3474.73</v>
      </c>
      <c r="AW40" s="48">
        <v>3956.78</v>
      </c>
      <c r="AX40" s="48">
        <v>383.76</v>
      </c>
      <c r="AY40" s="48">
        <v>0</v>
      </c>
      <c r="AZ40" s="48">
        <v>25164.61</v>
      </c>
      <c r="BA40" s="48">
        <v>5065.6899999999996</v>
      </c>
      <c r="BB40" s="48">
        <v>30987.81</v>
      </c>
      <c r="BC40" s="48">
        <v>3744.66</v>
      </c>
      <c r="BD40" s="48">
        <v>13358.7</v>
      </c>
      <c r="BE40" s="48">
        <v>34560</v>
      </c>
      <c r="BF40" s="48">
        <v>10486.95</v>
      </c>
      <c r="BG40" s="48">
        <v>51022.49</v>
      </c>
      <c r="BH40" s="48">
        <v>17166.96</v>
      </c>
      <c r="BI40" s="48">
        <v>0</v>
      </c>
      <c r="BJ40" s="48">
        <v>8748.1299999999992</v>
      </c>
      <c r="BK40" s="48">
        <v>6540.58</v>
      </c>
      <c r="BL40" s="48">
        <v>5307.87</v>
      </c>
      <c r="BM40" s="48">
        <v>55669.82</v>
      </c>
      <c r="BN40" s="48">
        <v>52321.7</v>
      </c>
      <c r="BO40" s="48">
        <v>114812.46</v>
      </c>
      <c r="BP40" s="48">
        <v>24333.9</v>
      </c>
      <c r="BQ40" s="48">
        <v>0</v>
      </c>
      <c r="BR40" s="48">
        <v>0</v>
      </c>
      <c r="BS40" s="48">
        <v>0</v>
      </c>
      <c r="BT40" s="48">
        <v>0</v>
      </c>
      <c r="BU40" s="48">
        <v>0</v>
      </c>
      <c r="BV40" s="48">
        <v>6576.25</v>
      </c>
      <c r="BW40" s="48">
        <v>0</v>
      </c>
      <c r="BX40" s="48">
        <v>0</v>
      </c>
      <c r="BY40" s="48">
        <v>1</v>
      </c>
      <c r="BZ40" s="48">
        <v>0</v>
      </c>
      <c r="CA40" s="453">
        <v>0</v>
      </c>
      <c r="CB40" s="454"/>
      <c r="CC40" s="48">
        <v>0</v>
      </c>
      <c r="CD40" s="48">
        <v>0</v>
      </c>
      <c r="CE40" s="48">
        <v>0</v>
      </c>
      <c r="CF40" s="48">
        <v>40899</v>
      </c>
      <c r="CG40" s="48">
        <v>6576</v>
      </c>
      <c r="CH40" s="48">
        <v>0</v>
      </c>
      <c r="CI40" s="48">
        <v>0</v>
      </c>
      <c r="CJ40" s="49">
        <v>0</v>
      </c>
      <c r="CK40" s="50">
        <f t="shared" si="0"/>
        <v>40899</v>
      </c>
      <c r="CL40" s="50">
        <f t="shared" si="1"/>
        <v>6576</v>
      </c>
    </row>
    <row r="41" spans="1:90" ht="25.5">
      <c r="A41" s="48">
        <v>302</v>
      </c>
      <c r="B41" s="48">
        <v>2070</v>
      </c>
      <c r="C41" s="48" t="s">
        <v>102</v>
      </c>
      <c r="D41" s="48" t="s">
        <v>441</v>
      </c>
      <c r="E41" s="48"/>
      <c r="F41" s="48" t="s">
        <v>435</v>
      </c>
      <c r="G41" s="48">
        <v>0</v>
      </c>
      <c r="H41" s="48">
        <v>0</v>
      </c>
      <c r="I41" s="48" t="s">
        <v>436</v>
      </c>
      <c r="J41" s="48" t="s">
        <v>437</v>
      </c>
      <c r="K41" s="48" t="s">
        <v>438</v>
      </c>
      <c r="L41" s="48" t="s">
        <v>439</v>
      </c>
      <c r="M41" s="48" t="s">
        <v>438</v>
      </c>
      <c r="N41" s="48" t="s">
        <v>440</v>
      </c>
      <c r="O41" s="48" t="s">
        <v>181</v>
      </c>
      <c r="P41" s="48" t="s">
        <v>181</v>
      </c>
      <c r="Q41" s="48">
        <v>289489</v>
      </c>
      <c r="R41" s="48">
        <v>0</v>
      </c>
      <c r="S41" s="48">
        <v>0</v>
      </c>
      <c r="T41" s="48">
        <v>1325742.83</v>
      </c>
      <c r="U41" s="48">
        <v>0</v>
      </c>
      <c r="V41" s="48">
        <v>56827.39</v>
      </c>
      <c r="W41" s="48">
        <v>0</v>
      </c>
      <c r="X41" s="48">
        <v>108945.03</v>
      </c>
      <c r="Y41" s="48">
        <v>23340.37</v>
      </c>
      <c r="Z41" s="48">
        <v>5125</v>
      </c>
      <c r="AA41" s="48">
        <v>11557.3</v>
      </c>
      <c r="AB41" s="48">
        <v>20203.59</v>
      </c>
      <c r="AC41" s="48">
        <v>15933.52</v>
      </c>
      <c r="AD41" s="48">
        <v>0</v>
      </c>
      <c r="AE41" s="48">
        <v>0</v>
      </c>
      <c r="AF41" s="48">
        <v>31170.240000000002</v>
      </c>
      <c r="AG41" s="48">
        <v>2867.48</v>
      </c>
      <c r="AH41" s="48">
        <v>0</v>
      </c>
      <c r="AI41" s="48">
        <v>0</v>
      </c>
      <c r="AJ41" s="48">
        <v>0</v>
      </c>
      <c r="AK41" s="48">
        <v>0</v>
      </c>
      <c r="AL41" s="48">
        <v>0</v>
      </c>
      <c r="AM41" s="48">
        <v>18502.5</v>
      </c>
      <c r="AN41" s="48">
        <v>44603</v>
      </c>
      <c r="AO41" s="48">
        <v>752086.42</v>
      </c>
      <c r="AP41" s="48">
        <v>0</v>
      </c>
      <c r="AQ41" s="48">
        <v>365454.17</v>
      </c>
      <c r="AR41" s="48">
        <v>72047.86</v>
      </c>
      <c r="AS41" s="48">
        <v>121391.81</v>
      </c>
      <c r="AT41" s="48">
        <v>0</v>
      </c>
      <c r="AU41" s="48">
        <v>41736.79</v>
      </c>
      <c r="AV41" s="48">
        <v>13824.89</v>
      </c>
      <c r="AW41" s="48">
        <v>4241.1000000000004</v>
      </c>
      <c r="AX41" s="48">
        <v>342.76</v>
      </c>
      <c r="AY41" s="48">
        <v>0</v>
      </c>
      <c r="AZ41" s="48">
        <v>22499.33</v>
      </c>
      <c r="BA41" s="48">
        <v>2649.21</v>
      </c>
      <c r="BB41" s="48">
        <v>1598.88</v>
      </c>
      <c r="BC41" s="48">
        <v>4746.4799999999996</v>
      </c>
      <c r="BD41" s="48">
        <v>19594.41</v>
      </c>
      <c r="BE41" s="48">
        <v>25199.5</v>
      </c>
      <c r="BF41" s="48">
        <v>9657.61</v>
      </c>
      <c r="BG41" s="48">
        <v>48634.89</v>
      </c>
      <c r="BH41" s="48">
        <v>14172.05</v>
      </c>
      <c r="BI41" s="48">
        <v>0</v>
      </c>
      <c r="BJ41" s="48">
        <v>9612.85</v>
      </c>
      <c r="BK41" s="48">
        <v>6793.83</v>
      </c>
      <c r="BL41" s="48">
        <v>2761.11</v>
      </c>
      <c r="BM41" s="48">
        <v>58594.05</v>
      </c>
      <c r="BN41" s="48">
        <v>0</v>
      </c>
      <c r="BO41" s="48">
        <v>34020.5</v>
      </c>
      <c r="BP41" s="48">
        <v>12867.64</v>
      </c>
      <c r="BQ41" s="48">
        <v>0</v>
      </c>
      <c r="BR41" s="48">
        <v>0</v>
      </c>
      <c r="BS41" s="48">
        <v>0</v>
      </c>
      <c r="BT41" s="48">
        <v>0</v>
      </c>
      <c r="BU41" s="48">
        <v>0</v>
      </c>
      <c r="BV41" s="48">
        <v>6709</v>
      </c>
      <c r="BW41" s="48">
        <v>0</v>
      </c>
      <c r="BX41" s="48">
        <v>0</v>
      </c>
      <c r="BY41" s="48">
        <v>1</v>
      </c>
      <c r="BZ41" s="48">
        <v>0</v>
      </c>
      <c r="CA41" s="453">
        <v>0</v>
      </c>
      <c r="CB41" s="454"/>
      <c r="CC41" s="48">
        <v>0</v>
      </c>
      <c r="CD41" s="48">
        <v>0</v>
      </c>
      <c r="CE41" s="48">
        <v>44285</v>
      </c>
      <c r="CF41" s="48">
        <v>265494</v>
      </c>
      <c r="CG41" s="48">
        <v>6709</v>
      </c>
      <c r="CH41" s="48">
        <v>0</v>
      </c>
      <c r="CI41" s="48">
        <v>0</v>
      </c>
      <c r="CJ41" s="49">
        <v>0</v>
      </c>
      <c r="CK41" s="50">
        <f t="shared" si="0"/>
        <v>309779</v>
      </c>
      <c r="CL41" s="50">
        <f t="shared" si="1"/>
        <v>6709</v>
      </c>
    </row>
    <row r="42" spans="1:90" ht="25.5">
      <c r="A42" s="48">
        <v>302</v>
      </c>
      <c r="B42" s="48">
        <v>2072</v>
      </c>
      <c r="C42" s="48" t="s">
        <v>84</v>
      </c>
      <c r="D42" s="48" t="s">
        <v>433</v>
      </c>
      <c r="E42" s="48" t="s">
        <v>449</v>
      </c>
      <c r="F42" s="48" t="s">
        <v>435</v>
      </c>
      <c r="G42" s="48">
        <v>0</v>
      </c>
      <c r="H42" s="48">
        <v>3</v>
      </c>
      <c r="I42" s="48" t="s">
        <v>436</v>
      </c>
      <c r="J42" s="48" t="s">
        <v>437</v>
      </c>
      <c r="K42" s="48" t="s">
        <v>438</v>
      </c>
      <c r="L42" s="48" t="s">
        <v>439</v>
      </c>
      <c r="M42" s="48" t="s">
        <v>438</v>
      </c>
      <c r="N42" s="48" t="s">
        <v>440</v>
      </c>
      <c r="O42" s="48" t="s">
        <v>181</v>
      </c>
      <c r="P42" s="48" t="s">
        <v>181</v>
      </c>
      <c r="Q42" s="48">
        <v>133084.79</v>
      </c>
      <c r="R42" s="48">
        <v>0</v>
      </c>
      <c r="S42" s="48">
        <v>5702.75</v>
      </c>
      <c r="T42" s="48">
        <v>2849715.52</v>
      </c>
      <c r="U42" s="48">
        <v>0</v>
      </c>
      <c r="V42" s="48">
        <v>161892.21</v>
      </c>
      <c r="W42" s="48">
        <v>0</v>
      </c>
      <c r="X42" s="48">
        <v>209005.05</v>
      </c>
      <c r="Y42" s="48">
        <v>10827.64</v>
      </c>
      <c r="Z42" s="48">
        <v>6667</v>
      </c>
      <c r="AA42" s="48">
        <v>42588.55</v>
      </c>
      <c r="AB42" s="48">
        <v>86522.84</v>
      </c>
      <c r="AC42" s="48">
        <v>43221.279999999999</v>
      </c>
      <c r="AD42" s="48">
        <v>1321.25</v>
      </c>
      <c r="AE42" s="48">
        <v>2045.05</v>
      </c>
      <c r="AF42" s="48">
        <v>12728.2</v>
      </c>
      <c r="AG42" s="48">
        <v>16205.43</v>
      </c>
      <c r="AH42" s="48">
        <v>0</v>
      </c>
      <c r="AI42" s="48">
        <v>0</v>
      </c>
      <c r="AJ42" s="48">
        <v>0</v>
      </c>
      <c r="AK42" s="48">
        <v>0</v>
      </c>
      <c r="AL42" s="48">
        <v>0</v>
      </c>
      <c r="AM42" s="48">
        <v>38841.879999999997</v>
      </c>
      <c r="AN42" s="48">
        <v>89894.5</v>
      </c>
      <c r="AO42" s="48">
        <v>1611642.99</v>
      </c>
      <c r="AP42" s="48">
        <v>0</v>
      </c>
      <c r="AQ42" s="48">
        <v>958160.61</v>
      </c>
      <c r="AR42" s="48">
        <v>65396.86</v>
      </c>
      <c r="AS42" s="48">
        <v>177364.51</v>
      </c>
      <c r="AT42" s="48">
        <v>0</v>
      </c>
      <c r="AU42" s="48">
        <v>70856.710000000006</v>
      </c>
      <c r="AV42" s="48">
        <v>16809.22</v>
      </c>
      <c r="AW42" s="48">
        <v>4746.92</v>
      </c>
      <c r="AX42" s="48">
        <v>10591.99</v>
      </c>
      <c r="AY42" s="48">
        <v>6000</v>
      </c>
      <c r="AZ42" s="48">
        <v>36232.01</v>
      </c>
      <c r="BA42" s="48">
        <v>24432.17</v>
      </c>
      <c r="BB42" s="48">
        <v>63451.27</v>
      </c>
      <c r="BC42" s="48">
        <v>8352.27</v>
      </c>
      <c r="BD42" s="48">
        <v>48662.86</v>
      </c>
      <c r="BE42" s="48">
        <v>46825.75</v>
      </c>
      <c r="BF42" s="48">
        <v>15898.71</v>
      </c>
      <c r="BG42" s="48">
        <v>51969.99</v>
      </c>
      <c r="BH42" s="48">
        <v>12437.17</v>
      </c>
      <c r="BI42" s="48">
        <v>0</v>
      </c>
      <c r="BJ42" s="48">
        <v>19135.32</v>
      </c>
      <c r="BK42" s="48">
        <v>14826.74</v>
      </c>
      <c r="BL42" s="48">
        <v>6386.92</v>
      </c>
      <c r="BM42" s="48">
        <v>117991.65</v>
      </c>
      <c r="BN42" s="48">
        <v>38755.15</v>
      </c>
      <c r="BO42" s="48">
        <v>137217.51999999999</v>
      </c>
      <c r="BP42" s="48">
        <v>24109</v>
      </c>
      <c r="BQ42" s="48">
        <v>0</v>
      </c>
      <c r="BR42" s="48">
        <v>0</v>
      </c>
      <c r="BS42" s="48">
        <v>0</v>
      </c>
      <c r="BT42" s="48">
        <v>0</v>
      </c>
      <c r="BU42" s="48">
        <v>0</v>
      </c>
      <c r="BV42" s="48">
        <v>14309</v>
      </c>
      <c r="BW42" s="48">
        <v>0</v>
      </c>
      <c r="BX42" s="48">
        <v>0</v>
      </c>
      <c r="BY42" s="48">
        <v>1</v>
      </c>
      <c r="BZ42" s="48">
        <v>0</v>
      </c>
      <c r="CA42" s="453">
        <v>3416.75</v>
      </c>
      <c r="CB42" s="454"/>
      <c r="CC42" s="48">
        <v>0</v>
      </c>
      <c r="CD42" s="48">
        <v>12654</v>
      </c>
      <c r="CE42" s="48">
        <v>69617</v>
      </c>
      <c r="CF42" s="48">
        <v>46690</v>
      </c>
      <c r="CG42" s="48">
        <v>3941</v>
      </c>
      <c r="CH42" s="48">
        <v>0</v>
      </c>
      <c r="CI42" s="48">
        <v>0</v>
      </c>
      <c r="CJ42" s="49">
        <v>0</v>
      </c>
      <c r="CK42" s="50">
        <f t="shared" si="0"/>
        <v>116307</v>
      </c>
      <c r="CL42" s="50">
        <f t="shared" si="1"/>
        <v>3941</v>
      </c>
    </row>
    <row r="43" spans="1:90" ht="25.5">
      <c r="A43" s="48">
        <v>302</v>
      </c>
      <c r="B43" s="48">
        <v>2073</v>
      </c>
      <c r="C43" s="48" t="s">
        <v>52</v>
      </c>
      <c r="D43" s="48" t="s">
        <v>441</v>
      </c>
      <c r="E43" s="48"/>
      <c r="F43" s="48" t="s">
        <v>435</v>
      </c>
      <c r="G43" s="48">
        <v>0</v>
      </c>
      <c r="H43" s="48">
        <v>0</v>
      </c>
      <c r="I43" s="48" t="s">
        <v>436</v>
      </c>
      <c r="J43" s="48" t="s">
        <v>437</v>
      </c>
      <c r="K43" s="48" t="s">
        <v>438</v>
      </c>
      <c r="L43" s="48" t="s">
        <v>439</v>
      </c>
      <c r="M43" s="48" t="s">
        <v>438</v>
      </c>
      <c r="N43" s="48" t="s">
        <v>440</v>
      </c>
      <c r="O43" s="48" t="s">
        <v>181</v>
      </c>
      <c r="P43" s="48" t="s">
        <v>181</v>
      </c>
      <c r="Q43" s="48">
        <v>312741.11</v>
      </c>
      <c r="R43" s="48">
        <v>-1965</v>
      </c>
      <c r="S43" s="48">
        <v>47126.5</v>
      </c>
      <c r="T43" s="48">
        <v>2840689.29</v>
      </c>
      <c r="U43" s="48">
        <v>0</v>
      </c>
      <c r="V43" s="48">
        <v>290382.11</v>
      </c>
      <c r="W43" s="48">
        <v>0</v>
      </c>
      <c r="X43" s="48">
        <v>237188.24</v>
      </c>
      <c r="Y43" s="48">
        <v>1000</v>
      </c>
      <c r="Z43" s="48">
        <v>30926.240000000002</v>
      </c>
      <c r="AA43" s="48">
        <v>400</v>
      </c>
      <c r="AB43" s="48">
        <v>80285.009999999995</v>
      </c>
      <c r="AC43" s="48">
        <v>71514.48</v>
      </c>
      <c r="AD43" s="48">
        <v>0</v>
      </c>
      <c r="AE43" s="48">
        <v>0</v>
      </c>
      <c r="AF43" s="48">
        <v>38006.379999999997</v>
      </c>
      <c r="AG43" s="48">
        <v>7492.21</v>
      </c>
      <c r="AH43" s="48">
        <v>0</v>
      </c>
      <c r="AI43" s="48">
        <v>0</v>
      </c>
      <c r="AJ43" s="48">
        <v>0</v>
      </c>
      <c r="AK43" s="48">
        <v>7725</v>
      </c>
      <c r="AL43" s="48">
        <v>46267</v>
      </c>
      <c r="AM43" s="48">
        <v>44120</v>
      </c>
      <c r="AN43" s="48">
        <v>103162</v>
      </c>
      <c r="AO43" s="48">
        <v>1492467.06</v>
      </c>
      <c r="AP43" s="48">
        <v>0</v>
      </c>
      <c r="AQ43" s="48">
        <v>1053532.6299999999</v>
      </c>
      <c r="AR43" s="48">
        <v>166091.68</v>
      </c>
      <c r="AS43" s="48">
        <v>133016.76999999999</v>
      </c>
      <c r="AT43" s="48">
        <v>159424.35999999999</v>
      </c>
      <c r="AU43" s="48">
        <v>197003.18</v>
      </c>
      <c r="AV43" s="48">
        <v>22342.720000000001</v>
      </c>
      <c r="AW43" s="48">
        <v>13519.64</v>
      </c>
      <c r="AX43" s="48">
        <v>1020.08</v>
      </c>
      <c r="AY43" s="48">
        <v>3500</v>
      </c>
      <c r="AZ43" s="48">
        <v>28381.15</v>
      </c>
      <c r="BA43" s="48">
        <v>33882.160000000003</v>
      </c>
      <c r="BB43" s="48">
        <v>9523.67</v>
      </c>
      <c r="BC43" s="48">
        <v>5614.12</v>
      </c>
      <c r="BD43" s="48">
        <v>46057.48</v>
      </c>
      <c r="BE43" s="48">
        <v>54999.78</v>
      </c>
      <c r="BF43" s="48">
        <v>21329.27</v>
      </c>
      <c r="BG43" s="48">
        <v>54797.760000000002</v>
      </c>
      <c r="BH43" s="48">
        <v>32639.279999999999</v>
      </c>
      <c r="BI43" s="48">
        <v>0</v>
      </c>
      <c r="BJ43" s="48">
        <v>80438.539999999994</v>
      </c>
      <c r="BK43" s="48">
        <v>18784.11</v>
      </c>
      <c r="BL43" s="48">
        <v>18759.57</v>
      </c>
      <c r="BM43" s="48">
        <v>162086.32999999999</v>
      </c>
      <c r="BN43" s="48">
        <v>82263.3</v>
      </c>
      <c r="BO43" s="48">
        <v>61005.41</v>
      </c>
      <c r="BP43" s="48">
        <v>39465.46</v>
      </c>
      <c r="BQ43" s="48">
        <v>0</v>
      </c>
      <c r="BR43" s="48">
        <v>0</v>
      </c>
      <c r="BS43" s="48">
        <v>0</v>
      </c>
      <c r="BT43" s="48">
        <v>0</v>
      </c>
      <c r="BU43" s="48">
        <v>0</v>
      </c>
      <c r="BV43" s="48">
        <v>12326</v>
      </c>
      <c r="BW43" s="48">
        <v>0</v>
      </c>
      <c r="BX43" s="48">
        <v>0</v>
      </c>
      <c r="BY43" s="48">
        <v>1</v>
      </c>
      <c r="BZ43" s="48">
        <v>0</v>
      </c>
      <c r="CA43" s="453">
        <v>21125.59</v>
      </c>
      <c r="CB43" s="454"/>
      <c r="CC43" s="48">
        <v>30150</v>
      </c>
      <c r="CD43" s="48">
        <v>0</v>
      </c>
      <c r="CE43" s="48">
        <v>12832</v>
      </c>
      <c r="CF43" s="48">
        <v>107122</v>
      </c>
      <c r="CG43" s="48">
        <v>8177</v>
      </c>
      <c r="CH43" s="48">
        <v>0</v>
      </c>
      <c r="CI43" s="48">
        <v>-1965</v>
      </c>
      <c r="CJ43" s="49">
        <v>0</v>
      </c>
      <c r="CK43" s="50">
        <f t="shared" si="0"/>
        <v>117989</v>
      </c>
      <c r="CL43" s="50">
        <f t="shared" si="1"/>
        <v>8177</v>
      </c>
    </row>
    <row r="44" spans="1:90" ht="38.25">
      <c r="A44" s="48">
        <v>302</v>
      </c>
      <c r="B44" s="48">
        <v>2076</v>
      </c>
      <c r="C44" s="48" t="s">
        <v>107</v>
      </c>
      <c r="D44" s="48" t="s">
        <v>441</v>
      </c>
      <c r="E44" s="48"/>
      <c r="F44" s="48" t="s">
        <v>435</v>
      </c>
      <c r="G44" s="48">
        <v>0</v>
      </c>
      <c r="H44" s="48">
        <v>1</v>
      </c>
      <c r="I44" s="48" t="s">
        <v>436</v>
      </c>
      <c r="J44" s="48" t="s">
        <v>437</v>
      </c>
      <c r="K44" s="48" t="s">
        <v>438</v>
      </c>
      <c r="L44" s="48" t="s">
        <v>439</v>
      </c>
      <c r="M44" s="48" t="s">
        <v>438</v>
      </c>
      <c r="N44" s="48" t="s">
        <v>440</v>
      </c>
      <c r="O44" s="48" t="s">
        <v>181</v>
      </c>
      <c r="P44" s="48" t="s">
        <v>181</v>
      </c>
      <c r="Q44" s="48">
        <v>246380</v>
      </c>
      <c r="R44" s="48">
        <v>0</v>
      </c>
      <c r="S44" s="48">
        <v>59370</v>
      </c>
      <c r="T44" s="48">
        <v>1950998.33</v>
      </c>
      <c r="U44" s="48">
        <v>0</v>
      </c>
      <c r="V44" s="48">
        <v>96958.29</v>
      </c>
      <c r="W44" s="48">
        <v>0</v>
      </c>
      <c r="X44" s="48">
        <v>164498.04</v>
      </c>
      <c r="Y44" s="48">
        <v>0</v>
      </c>
      <c r="Z44" s="48">
        <v>5690</v>
      </c>
      <c r="AA44" s="48">
        <v>34406.5</v>
      </c>
      <c r="AB44" s="48">
        <v>43902.6</v>
      </c>
      <c r="AC44" s="48">
        <v>26815.23</v>
      </c>
      <c r="AD44" s="48">
        <v>0</v>
      </c>
      <c r="AE44" s="48">
        <v>0</v>
      </c>
      <c r="AF44" s="48">
        <v>3361.49</v>
      </c>
      <c r="AG44" s="48">
        <v>3153</v>
      </c>
      <c r="AH44" s="48">
        <v>0</v>
      </c>
      <c r="AI44" s="48">
        <v>0</v>
      </c>
      <c r="AJ44" s="48">
        <v>0</v>
      </c>
      <c r="AK44" s="48">
        <v>0</v>
      </c>
      <c r="AL44" s="48">
        <v>0</v>
      </c>
      <c r="AM44" s="48">
        <v>11760</v>
      </c>
      <c r="AN44" s="48">
        <v>77988.38</v>
      </c>
      <c r="AO44" s="48">
        <v>1135715.3999999999</v>
      </c>
      <c r="AP44" s="48">
        <v>22243.47</v>
      </c>
      <c r="AQ44" s="48">
        <v>401567.43</v>
      </c>
      <c r="AR44" s="48">
        <v>47180.7</v>
      </c>
      <c r="AS44" s="48">
        <v>192844.94</v>
      </c>
      <c r="AT44" s="48">
        <v>0</v>
      </c>
      <c r="AU44" s="48">
        <v>42644.29</v>
      </c>
      <c r="AV44" s="48">
        <v>9769.64</v>
      </c>
      <c r="AW44" s="48">
        <v>3515.42</v>
      </c>
      <c r="AX44" s="48">
        <v>578.91999999999996</v>
      </c>
      <c r="AY44" s="48">
        <v>0</v>
      </c>
      <c r="AZ44" s="48">
        <v>30983.74</v>
      </c>
      <c r="BA44" s="48">
        <v>301.69</v>
      </c>
      <c r="BB44" s="48">
        <v>44069.09</v>
      </c>
      <c r="BC44" s="48">
        <v>-14836.53</v>
      </c>
      <c r="BD44" s="48">
        <v>41240.959999999999</v>
      </c>
      <c r="BE44" s="48">
        <v>32000</v>
      </c>
      <c r="BF44" s="48">
        <v>12460.07</v>
      </c>
      <c r="BG44" s="48">
        <v>49217.91</v>
      </c>
      <c r="BH44" s="48">
        <v>23621.27</v>
      </c>
      <c r="BI44" s="48">
        <v>0</v>
      </c>
      <c r="BJ44" s="48">
        <v>12397.89</v>
      </c>
      <c r="BK44" s="48">
        <v>10066.11</v>
      </c>
      <c r="BL44" s="48">
        <v>8358.61</v>
      </c>
      <c r="BM44" s="48">
        <v>91237.85</v>
      </c>
      <c r="BN44" s="48">
        <v>1701</v>
      </c>
      <c r="BO44" s="48">
        <v>254512.65</v>
      </c>
      <c r="BP44" s="48">
        <v>23547.48</v>
      </c>
      <c r="BQ44" s="48">
        <v>0</v>
      </c>
      <c r="BR44" s="48">
        <v>0</v>
      </c>
      <c r="BS44" s="48">
        <v>0</v>
      </c>
      <c r="BT44" s="48">
        <v>0</v>
      </c>
      <c r="BU44" s="48">
        <v>0</v>
      </c>
      <c r="BV44" s="48">
        <v>8419</v>
      </c>
      <c r="BW44" s="48">
        <v>0</v>
      </c>
      <c r="BX44" s="48">
        <v>0</v>
      </c>
      <c r="BY44" s="48">
        <v>1</v>
      </c>
      <c r="BZ44" s="48">
        <v>0</v>
      </c>
      <c r="CA44" s="453">
        <v>61638.2</v>
      </c>
      <c r="CB44" s="454"/>
      <c r="CC44" s="48">
        <v>0</v>
      </c>
      <c r="CD44" s="48">
        <v>110</v>
      </c>
      <c r="CE44" s="48">
        <v>16769</v>
      </c>
      <c r="CF44" s="48">
        <v>172203</v>
      </c>
      <c r="CG44" s="48">
        <v>6041</v>
      </c>
      <c r="CH44" s="48">
        <v>0</v>
      </c>
      <c r="CI44" s="48">
        <v>0</v>
      </c>
      <c r="CJ44" s="49">
        <v>0</v>
      </c>
      <c r="CK44" s="50">
        <f t="shared" si="0"/>
        <v>188972</v>
      </c>
      <c r="CL44" s="50">
        <f t="shared" si="1"/>
        <v>6041</v>
      </c>
    </row>
    <row r="45" spans="1:90">
      <c r="A45" s="48">
        <v>302</v>
      </c>
      <c r="B45" s="48">
        <v>2077</v>
      </c>
      <c r="C45" s="48" t="s">
        <v>79</v>
      </c>
      <c r="D45" s="48" t="s">
        <v>441</v>
      </c>
      <c r="E45" s="48"/>
      <c r="F45" s="48" t="s">
        <v>435</v>
      </c>
      <c r="G45" s="48">
        <v>0</v>
      </c>
      <c r="H45" s="48">
        <v>1</v>
      </c>
      <c r="I45" s="48" t="s">
        <v>436</v>
      </c>
      <c r="J45" s="48" t="s">
        <v>437</v>
      </c>
      <c r="K45" s="48" t="s">
        <v>438</v>
      </c>
      <c r="L45" s="48" t="s">
        <v>439</v>
      </c>
      <c r="M45" s="48" t="s">
        <v>438</v>
      </c>
      <c r="N45" s="48" t="s">
        <v>440</v>
      </c>
      <c r="O45" s="48" t="s">
        <v>181</v>
      </c>
      <c r="P45" s="48" t="s">
        <v>181</v>
      </c>
      <c r="Q45" s="48">
        <v>147576.54</v>
      </c>
      <c r="R45" s="48">
        <v>0</v>
      </c>
      <c r="S45" s="48">
        <v>10888.45</v>
      </c>
      <c r="T45" s="48">
        <v>5566942.6500000004</v>
      </c>
      <c r="U45" s="48">
        <v>0</v>
      </c>
      <c r="V45" s="48">
        <v>768261.77</v>
      </c>
      <c r="W45" s="48">
        <v>0</v>
      </c>
      <c r="X45" s="48">
        <v>601490.01</v>
      </c>
      <c r="Y45" s="48">
        <v>4267</v>
      </c>
      <c r="Z45" s="48">
        <v>0</v>
      </c>
      <c r="AA45" s="48">
        <v>12665</v>
      </c>
      <c r="AB45" s="48">
        <v>87398.54</v>
      </c>
      <c r="AC45" s="48">
        <v>83579.17</v>
      </c>
      <c r="AD45" s="48">
        <v>0</v>
      </c>
      <c r="AE45" s="48">
        <v>0</v>
      </c>
      <c r="AF45" s="48">
        <v>18413.8</v>
      </c>
      <c r="AG45" s="48">
        <v>28504.66</v>
      </c>
      <c r="AH45" s="48">
        <v>0</v>
      </c>
      <c r="AI45" s="48">
        <v>0</v>
      </c>
      <c r="AJ45" s="48">
        <v>0</v>
      </c>
      <c r="AK45" s="48">
        <v>0</v>
      </c>
      <c r="AL45" s="48">
        <v>0</v>
      </c>
      <c r="AM45" s="48">
        <v>91865.12</v>
      </c>
      <c r="AN45" s="48">
        <v>120109.83</v>
      </c>
      <c r="AO45" s="48">
        <v>3260945.16</v>
      </c>
      <c r="AP45" s="48">
        <v>0</v>
      </c>
      <c r="AQ45" s="48">
        <v>1824899.43</v>
      </c>
      <c r="AR45" s="48">
        <v>302661.03999999998</v>
      </c>
      <c r="AS45" s="48">
        <v>232956.84</v>
      </c>
      <c r="AT45" s="48">
        <v>136052.06</v>
      </c>
      <c r="AU45" s="48">
        <v>281216.42</v>
      </c>
      <c r="AV45" s="48">
        <v>27547.46</v>
      </c>
      <c r="AW45" s="48">
        <v>7351.42</v>
      </c>
      <c r="AX45" s="48">
        <v>1420.24</v>
      </c>
      <c r="AY45" s="48">
        <v>0</v>
      </c>
      <c r="AZ45" s="48">
        <v>44991.54</v>
      </c>
      <c r="BA45" s="48">
        <v>32292.75</v>
      </c>
      <c r="BB45" s="48">
        <v>11320.87</v>
      </c>
      <c r="BC45" s="48">
        <v>36863.08</v>
      </c>
      <c r="BD45" s="48">
        <v>73637.5</v>
      </c>
      <c r="BE45" s="48">
        <v>5993.47</v>
      </c>
      <c r="BF45" s="48">
        <v>45936.38</v>
      </c>
      <c r="BG45" s="48">
        <v>277681.09000000003</v>
      </c>
      <c r="BH45" s="48">
        <v>36656.75</v>
      </c>
      <c r="BI45" s="48">
        <v>0</v>
      </c>
      <c r="BJ45" s="48">
        <v>83826.64</v>
      </c>
      <c r="BK45" s="48">
        <v>28267.91</v>
      </c>
      <c r="BL45" s="48">
        <v>44936.78</v>
      </c>
      <c r="BM45" s="48">
        <v>192422.9</v>
      </c>
      <c r="BN45" s="48">
        <v>101671.26</v>
      </c>
      <c r="BO45" s="48">
        <v>450986.97</v>
      </c>
      <c r="BP45" s="48">
        <v>70515.64</v>
      </c>
      <c r="BQ45" s="48">
        <v>0</v>
      </c>
      <c r="BR45" s="48">
        <v>0</v>
      </c>
      <c r="BS45" s="48">
        <v>0</v>
      </c>
      <c r="BT45" s="48">
        <v>0</v>
      </c>
      <c r="BU45" s="48">
        <v>0</v>
      </c>
      <c r="BV45" s="48">
        <v>14775.25</v>
      </c>
      <c r="BW45" s="48">
        <v>0</v>
      </c>
      <c r="BX45" s="48">
        <v>0</v>
      </c>
      <c r="BY45" s="48">
        <v>1</v>
      </c>
      <c r="BZ45" s="48">
        <v>0</v>
      </c>
      <c r="CA45" s="453">
        <v>0</v>
      </c>
      <c r="CB45" s="454"/>
      <c r="CC45" s="48">
        <v>0</v>
      </c>
      <c r="CD45" s="48">
        <v>0</v>
      </c>
      <c r="CE45" s="48">
        <v>0</v>
      </c>
      <c r="CF45" s="48">
        <v>-81978</v>
      </c>
      <c r="CG45" s="48">
        <v>25664</v>
      </c>
      <c r="CH45" s="48">
        <v>0</v>
      </c>
      <c r="CI45" s="48">
        <v>0</v>
      </c>
      <c r="CJ45" s="49">
        <v>0</v>
      </c>
      <c r="CK45" s="50">
        <f t="shared" si="0"/>
        <v>-81978</v>
      </c>
      <c r="CL45" s="50">
        <f t="shared" si="1"/>
        <v>25664</v>
      </c>
    </row>
    <row r="46" spans="1:90" ht="25.5">
      <c r="A46" s="48">
        <v>302</v>
      </c>
      <c r="B46" s="48">
        <v>2078</v>
      </c>
      <c r="C46" s="48" t="s">
        <v>82</v>
      </c>
      <c r="D46" s="48" t="s">
        <v>441</v>
      </c>
      <c r="E46" s="48"/>
      <c r="F46" s="48" t="s">
        <v>435</v>
      </c>
      <c r="G46" s="48">
        <v>0</v>
      </c>
      <c r="H46" s="48">
        <v>1</v>
      </c>
      <c r="I46" s="48" t="s">
        <v>436</v>
      </c>
      <c r="J46" s="48" t="s">
        <v>437</v>
      </c>
      <c r="K46" s="48" t="s">
        <v>438</v>
      </c>
      <c r="L46" s="48" t="s">
        <v>439</v>
      </c>
      <c r="M46" s="48" t="s">
        <v>438</v>
      </c>
      <c r="N46" s="48" t="s">
        <v>440</v>
      </c>
      <c r="O46" s="48" t="s">
        <v>181</v>
      </c>
      <c r="P46" s="48" t="s">
        <v>181</v>
      </c>
      <c r="Q46" s="48">
        <v>-288742.78999999998</v>
      </c>
      <c r="R46" s="48">
        <v>0</v>
      </c>
      <c r="S46" s="48">
        <v>10000</v>
      </c>
      <c r="T46" s="48">
        <v>1490492.11</v>
      </c>
      <c r="U46" s="48">
        <v>0</v>
      </c>
      <c r="V46" s="48">
        <v>75276.38</v>
      </c>
      <c r="W46" s="48">
        <v>0</v>
      </c>
      <c r="X46" s="48">
        <v>33625.019999999997</v>
      </c>
      <c r="Y46" s="48">
        <v>56842.25</v>
      </c>
      <c r="Z46" s="48">
        <v>0</v>
      </c>
      <c r="AA46" s="48">
        <v>0</v>
      </c>
      <c r="AB46" s="48">
        <v>26189.75</v>
      </c>
      <c r="AC46" s="48">
        <v>940.8</v>
      </c>
      <c r="AD46" s="48">
        <v>22728</v>
      </c>
      <c r="AE46" s="48">
        <v>0</v>
      </c>
      <c r="AF46" s="48">
        <v>16139</v>
      </c>
      <c r="AG46" s="48">
        <v>300357.45</v>
      </c>
      <c r="AH46" s="48">
        <v>0</v>
      </c>
      <c r="AI46" s="48">
        <v>0</v>
      </c>
      <c r="AJ46" s="48">
        <v>0</v>
      </c>
      <c r="AK46" s="48">
        <v>0</v>
      </c>
      <c r="AL46" s="48">
        <v>0</v>
      </c>
      <c r="AM46" s="48">
        <v>0</v>
      </c>
      <c r="AN46" s="48">
        <v>80792.88</v>
      </c>
      <c r="AO46" s="48">
        <v>957193.16</v>
      </c>
      <c r="AP46" s="48">
        <v>0</v>
      </c>
      <c r="AQ46" s="48">
        <v>326569.07</v>
      </c>
      <c r="AR46" s="48">
        <v>0</v>
      </c>
      <c r="AS46" s="48">
        <v>165398.95000000001</v>
      </c>
      <c r="AT46" s="48">
        <v>0</v>
      </c>
      <c r="AU46" s="48">
        <v>31288.74</v>
      </c>
      <c r="AV46" s="48">
        <v>2702.63</v>
      </c>
      <c r="AW46" s="48">
        <v>4832.71</v>
      </c>
      <c r="AX46" s="48">
        <v>29389.01</v>
      </c>
      <c r="AY46" s="48">
        <v>0</v>
      </c>
      <c r="AZ46" s="48">
        <v>19577.66</v>
      </c>
      <c r="BA46" s="48">
        <v>0</v>
      </c>
      <c r="BB46" s="48">
        <v>32796.239999999998</v>
      </c>
      <c r="BC46" s="48">
        <v>2619.02</v>
      </c>
      <c r="BD46" s="48">
        <v>41159.599999999999</v>
      </c>
      <c r="BE46" s="48">
        <v>19152</v>
      </c>
      <c r="BF46" s="48">
        <v>65743.34</v>
      </c>
      <c r="BG46" s="48">
        <v>93928.08</v>
      </c>
      <c r="BH46" s="48">
        <v>7219.19</v>
      </c>
      <c r="BI46" s="48">
        <v>0</v>
      </c>
      <c r="BJ46" s="48">
        <v>9257.94</v>
      </c>
      <c r="BK46" s="48">
        <v>3086.76</v>
      </c>
      <c r="BL46" s="48">
        <v>19586.3</v>
      </c>
      <c r="BM46" s="48">
        <v>40564.6</v>
      </c>
      <c r="BN46" s="48">
        <v>95249.71</v>
      </c>
      <c r="BO46" s="48">
        <v>65837.070000000007</v>
      </c>
      <c r="BP46" s="48">
        <v>20912.38</v>
      </c>
      <c r="BQ46" s="48">
        <v>0</v>
      </c>
      <c r="BR46" s="48">
        <v>0</v>
      </c>
      <c r="BS46" s="48">
        <v>0</v>
      </c>
      <c r="BT46" s="48">
        <v>0</v>
      </c>
      <c r="BU46" s="48">
        <v>0</v>
      </c>
      <c r="BV46" s="48">
        <v>0</v>
      </c>
      <c r="BW46" s="48">
        <v>10000</v>
      </c>
      <c r="BX46" s="48">
        <v>0</v>
      </c>
      <c r="BY46" s="48">
        <v>1</v>
      </c>
      <c r="BZ46" s="48">
        <v>0</v>
      </c>
      <c r="CA46" s="453">
        <v>18622.22</v>
      </c>
      <c r="CB46" s="454"/>
      <c r="CC46" s="48">
        <v>0</v>
      </c>
      <c r="CD46" s="48">
        <v>0</v>
      </c>
      <c r="CE46" s="48">
        <v>0</v>
      </c>
      <c r="CF46" s="48">
        <v>-239423</v>
      </c>
      <c r="CG46" s="48">
        <v>1378</v>
      </c>
      <c r="CH46" s="48">
        <v>0</v>
      </c>
      <c r="CI46" s="48">
        <v>0</v>
      </c>
      <c r="CJ46" s="49">
        <v>0</v>
      </c>
      <c r="CK46" s="50">
        <f t="shared" si="0"/>
        <v>-239423</v>
      </c>
      <c r="CL46" s="50">
        <f t="shared" si="1"/>
        <v>1378</v>
      </c>
    </row>
    <row r="47" spans="1:90" ht="25.5">
      <c r="A47" s="48">
        <v>302</v>
      </c>
      <c r="B47" s="48">
        <v>2079</v>
      </c>
      <c r="C47" s="48" t="s">
        <v>450</v>
      </c>
      <c r="D47" s="48" t="s">
        <v>441</v>
      </c>
      <c r="E47" s="48"/>
      <c r="F47" s="48" t="s">
        <v>435</v>
      </c>
      <c r="G47" s="48">
        <v>0</v>
      </c>
      <c r="H47" s="48">
        <v>0</v>
      </c>
      <c r="I47" s="48" t="s">
        <v>436</v>
      </c>
      <c r="J47" s="48" t="s">
        <v>437</v>
      </c>
      <c r="K47" s="48" t="s">
        <v>438</v>
      </c>
      <c r="L47" s="48" t="s">
        <v>439</v>
      </c>
      <c r="M47" s="48" t="s">
        <v>438</v>
      </c>
      <c r="N47" s="48" t="s">
        <v>440</v>
      </c>
      <c r="O47" s="48" t="s">
        <v>181</v>
      </c>
      <c r="P47" s="48" t="s">
        <v>181</v>
      </c>
      <c r="Q47" s="48">
        <v>108537.02</v>
      </c>
      <c r="R47" s="48">
        <v>0</v>
      </c>
      <c r="S47" s="48">
        <v>0</v>
      </c>
      <c r="T47" s="48">
        <v>2107555.62</v>
      </c>
      <c r="U47" s="48">
        <v>0</v>
      </c>
      <c r="V47" s="48">
        <v>9689.2199999999993</v>
      </c>
      <c r="W47" s="48">
        <v>0</v>
      </c>
      <c r="X47" s="48">
        <v>36314.97</v>
      </c>
      <c r="Y47" s="48">
        <v>0</v>
      </c>
      <c r="Z47" s="48">
        <v>0</v>
      </c>
      <c r="AA47" s="48">
        <v>0</v>
      </c>
      <c r="AB47" s="48">
        <v>0</v>
      </c>
      <c r="AC47" s="48">
        <v>0</v>
      </c>
      <c r="AD47" s="48">
        <v>0</v>
      </c>
      <c r="AE47" s="48">
        <v>0</v>
      </c>
      <c r="AF47" s="48">
        <v>3532.7</v>
      </c>
      <c r="AG47" s="48">
        <v>0</v>
      </c>
      <c r="AH47" s="48">
        <v>0</v>
      </c>
      <c r="AI47" s="48">
        <v>0</v>
      </c>
      <c r="AJ47" s="48">
        <v>0</v>
      </c>
      <c r="AK47" s="48">
        <v>0</v>
      </c>
      <c r="AL47" s="48">
        <v>0</v>
      </c>
      <c r="AM47" s="48">
        <v>0</v>
      </c>
      <c r="AN47" s="48">
        <v>117955.11</v>
      </c>
      <c r="AO47" s="48">
        <v>1353883.07</v>
      </c>
      <c r="AP47" s="48">
        <v>0</v>
      </c>
      <c r="AQ47" s="48">
        <v>189993.65</v>
      </c>
      <c r="AR47" s="48">
        <v>39775.370000000003</v>
      </c>
      <c r="AS47" s="48">
        <v>141715.5</v>
      </c>
      <c r="AT47" s="48">
        <v>0</v>
      </c>
      <c r="AU47" s="48">
        <v>48159.6</v>
      </c>
      <c r="AV47" s="48">
        <v>39288.839999999997</v>
      </c>
      <c r="AW47" s="48">
        <v>2342.39</v>
      </c>
      <c r="AX47" s="48">
        <v>711.76</v>
      </c>
      <c r="AY47" s="48">
        <v>0</v>
      </c>
      <c r="AZ47" s="48">
        <v>20568.7</v>
      </c>
      <c r="BA47" s="48">
        <v>0</v>
      </c>
      <c r="BB47" s="48">
        <v>48939.05</v>
      </c>
      <c r="BC47" s="48">
        <v>0</v>
      </c>
      <c r="BD47" s="48">
        <v>35463.89</v>
      </c>
      <c r="BE47" s="48">
        <v>28728</v>
      </c>
      <c r="BF47" s="48">
        <v>16129.46</v>
      </c>
      <c r="BG47" s="48">
        <v>53258.79</v>
      </c>
      <c r="BH47" s="48">
        <v>25949.64</v>
      </c>
      <c r="BI47" s="48">
        <v>0</v>
      </c>
      <c r="BJ47" s="48">
        <v>17263.79</v>
      </c>
      <c r="BK47" s="48">
        <v>13197.58</v>
      </c>
      <c r="BL47" s="48">
        <v>84725.64</v>
      </c>
      <c r="BM47" s="48">
        <v>74135.56</v>
      </c>
      <c r="BN47" s="48">
        <v>3520</v>
      </c>
      <c r="BO47" s="48">
        <v>81775.28</v>
      </c>
      <c r="BP47" s="48">
        <v>27505.71</v>
      </c>
      <c r="BQ47" s="48">
        <v>0</v>
      </c>
      <c r="BR47" s="48">
        <v>0</v>
      </c>
      <c r="BS47" s="48">
        <v>0</v>
      </c>
      <c r="BT47" s="48">
        <v>0</v>
      </c>
      <c r="BU47" s="48">
        <v>0</v>
      </c>
      <c r="BV47" s="48">
        <v>0</v>
      </c>
      <c r="BW47" s="48">
        <v>0</v>
      </c>
      <c r="BX47" s="48">
        <v>0</v>
      </c>
      <c r="BY47" s="48">
        <v>1</v>
      </c>
      <c r="BZ47" s="48">
        <v>0</v>
      </c>
      <c r="CA47" s="453">
        <v>0</v>
      </c>
      <c r="CB47" s="454"/>
      <c r="CC47" s="48">
        <v>0</v>
      </c>
      <c r="CD47" s="48">
        <v>0</v>
      </c>
      <c r="CE47" s="48">
        <v>36553</v>
      </c>
      <c r="CF47" s="48">
        <v>0</v>
      </c>
      <c r="CG47" s="48">
        <v>0</v>
      </c>
      <c r="CH47" s="48">
        <v>0</v>
      </c>
      <c r="CI47" s="48">
        <v>0</v>
      </c>
      <c r="CJ47" s="49">
        <v>0</v>
      </c>
      <c r="CK47" s="50">
        <f t="shared" si="0"/>
        <v>36553</v>
      </c>
      <c r="CL47" s="50">
        <f t="shared" si="1"/>
        <v>0</v>
      </c>
    </row>
    <row r="48" spans="1:90" ht="25.5">
      <c r="A48" s="48">
        <v>302</v>
      </c>
      <c r="B48" s="48">
        <v>3300</v>
      </c>
      <c r="C48" s="48" t="s">
        <v>451</v>
      </c>
      <c r="D48" s="48" t="s">
        <v>441</v>
      </c>
      <c r="E48" s="48"/>
      <c r="F48" s="48" t="s">
        <v>435</v>
      </c>
      <c r="G48" s="48">
        <v>0</v>
      </c>
      <c r="H48" s="48">
        <v>1</v>
      </c>
      <c r="I48" s="48" t="s">
        <v>436</v>
      </c>
      <c r="J48" s="48" t="s">
        <v>437</v>
      </c>
      <c r="K48" s="48" t="s">
        <v>438</v>
      </c>
      <c r="L48" s="48" t="s">
        <v>439</v>
      </c>
      <c r="M48" s="48" t="s">
        <v>438</v>
      </c>
      <c r="N48" s="48" t="s">
        <v>440</v>
      </c>
      <c r="O48" s="48" t="s">
        <v>181</v>
      </c>
      <c r="P48" s="48" t="s">
        <v>181</v>
      </c>
      <c r="Q48" s="48">
        <v>101.49</v>
      </c>
      <c r="R48" s="48">
        <v>0</v>
      </c>
      <c r="S48" s="48">
        <v>0</v>
      </c>
      <c r="T48" s="48">
        <v>940994.59</v>
      </c>
      <c r="U48" s="48">
        <v>0</v>
      </c>
      <c r="V48" s="48">
        <v>39240.15</v>
      </c>
      <c r="W48" s="48">
        <v>0</v>
      </c>
      <c r="X48" s="48">
        <v>114324.99</v>
      </c>
      <c r="Y48" s="48">
        <v>0</v>
      </c>
      <c r="Z48" s="48">
        <v>0</v>
      </c>
      <c r="AA48" s="48">
        <v>0</v>
      </c>
      <c r="AB48" s="48">
        <v>10064.4</v>
      </c>
      <c r="AC48" s="48">
        <v>5594.59</v>
      </c>
      <c r="AD48" s="48">
        <v>9940.08</v>
      </c>
      <c r="AE48" s="48">
        <v>0</v>
      </c>
      <c r="AF48" s="48">
        <v>-1293.1500000000001</v>
      </c>
      <c r="AG48" s="48">
        <v>12815.58</v>
      </c>
      <c r="AH48" s="48">
        <v>0</v>
      </c>
      <c r="AI48" s="48">
        <v>0</v>
      </c>
      <c r="AJ48" s="48">
        <v>0</v>
      </c>
      <c r="AK48" s="48">
        <v>0</v>
      </c>
      <c r="AL48" s="48">
        <v>0</v>
      </c>
      <c r="AM48" s="48">
        <v>17296.259999999998</v>
      </c>
      <c r="AN48" s="48">
        <v>26882</v>
      </c>
      <c r="AO48" s="48">
        <v>597177.76</v>
      </c>
      <c r="AP48" s="48">
        <v>0</v>
      </c>
      <c r="AQ48" s="48">
        <v>134362.26999999999</v>
      </c>
      <c r="AR48" s="48">
        <v>36387.93</v>
      </c>
      <c r="AS48" s="48">
        <v>40216.65</v>
      </c>
      <c r="AT48" s="48">
        <v>0</v>
      </c>
      <c r="AU48" s="48">
        <v>14398.73</v>
      </c>
      <c r="AV48" s="48">
        <v>2503.37</v>
      </c>
      <c r="AW48" s="48">
        <v>2204.71</v>
      </c>
      <c r="AX48" s="48">
        <v>280.44</v>
      </c>
      <c r="AY48" s="48">
        <v>0</v>
      </c>
      <c r="AZ48" s="48">
        <v>9528.9599999999991</v>
      </c>
      <c r="BA48" s="48">
        <v>6907.54</v>
      </c>
      <c r="BB48" s="48">
        <v>22306.14</v>
      </c>
      <c r="BC48" s="48">
        <v>6173.45</v>
      </c>
      <c r="BD48" s="48">
        <v>17833.75</v>
      </c>
      <c r="BE48" s="48">
        <v>2973.6</v>
      </c>
      <c r="BF48" s="48">
        <v>6240.64</v>
      </c>
      <c r="BG48" s="48">
        <v>24084.720000000001</v>
      </c>
      <c r="BH48" s="48">
        <v>11208.66</v>
      </c>
      <c r="BI48" s="48">
        <v>0</v>
      </c>
      <c r="BJ48" s="48">
        <v>8137.72</v>
      </c>
      <c r="BK48" s="48">
        <v>4765.7700000000004</v>
      </c>
      <c r="BL48" s="48">
        <v>2424.14</v>
      </c>
      <c r="BM48" s="48">
        <v>34225.17</v>
      </c>
      <c r="BN48" s="48">
        <v>20150.580000000002</v>
      </c>
      <c r="BO48" s="48">
        <v>77035.31</v>
      </c>
      <c r="BP48" s="48">
        <v>35469.760000000002</v>
      </c>
      <c r="BQ48" s="48">
        <v>0</v>
      </c>
      <c r="BR48" s="48">
        <v>0</v>
      </c>
      <c r="BS48" s="48">
        <v>0</v>
      </c>
      <c r="BT48" s="48">
        <v>0</v>
      </c>
      <c r="BU48" s="48">
        <v>0</v>
      </c>
      <c r="BV48" s="48">
        <v>0</v>
      </c>
      <c r="BW48" s="48">
        <v>0</v>
      </c>
      <c r="BX48" s="48">
        <v>0</v>
      </c>
      <c r="BY48" s="48">
        <v>1</v>
      </c>
      <c r="BZ48" s="48">
        <v>0</v>
      </c>
      <c r="CA48" s="453">
        <v>0</v>
      </c>
      <c r="CB48" s="454"/>
      <c r="CC48" s="48">
        <v>0</v>
      </c>
      <c r="CD48" s="48">
        <v>0</v>
      </c>
      <c r="CE48" s="48">
        <v>58963</v>
      </c>
      <c r="CF48" s="48">
        <v>0</v>
      </c>
      <c r="CG48" s="48">
        <v>0</v>
      </c>
      <c r="CH48" s="48">
        <v>0</v>
      </c>
      <c r="CI48" s="48">
        <v>0</v>
      </c>
      <c r="CJ48" s="49">
        <v>0</v>
      </c>
      <c r="CK48" s="50">
        <f t="shared" si="0"/>
        <v>58963</v>
      </c>
      <c r="CL48" s="50">
        <f t="shared" si="1"/>
        <v>0</v>
      </c>
    </row>
    <row r="49" spans="1:90" ht="25.5">
      <c r="A49" s="48">
        <v>302</v>
      </c>
      <c r="B49" s="48">
        <v>3302</v>
      </c>
      <c r="C49" s="48" t="s">
        <v>45</v>
      </c>
      <c r="D49" s="48" t="s">
        <v>441</v>
      </c>
      <c r="E49" s="48"/>
      <c r="F49" s="48" t="s">
        <v>435</v>
      </c>
      <c r="G49" s="48">
        <v>0</v>
      </c>
      <c r="H49" s="48">
        <v>0</v>
      </c>
      <c r="I49" s="48" t="s">
        <v>436</v>
      </c>
      <c r="J49" s="48" t="s">
        <v>437</v>
      </c>
      <c r="K49" s="48" t="s">
        <v>438</v>
      </c>
      <c r="L49" s="48" t="s">
        <v>439</v>
      </c>
      <c r="M49" s="48" t="s">
        <v>438</v>
      </c>
      <c r="N49" s="48" t="s">
        <v>440</v>
      </c>
      <c r="O49" s="48" t="s">
        <v>181</v>
      </c>
      <c r="P49" s="48" t="s">
        <v>181</v>
      </c>
      <c r="Q49" s="48">
        <v>395446.57</v>
      </c>
      <c r="R49" s="48">
        <v>0</v>
      </c>
      <c r="S49" s="48">
        <v>0</v>
      </c>
      <c r="T49" s="48">
        <v>1019879</v>
      </c>
      <c r="U49" s="48">
        <v>0</v>
      </c>
      <c r="V49" s="48">
        <v>63765.09</v>
      </c>
      <c r="W49" s="48">
        <v>0</v>
      </c>
      <c r="X49" s="48">
        <v>32934.93</v>
      </c>
      <c r="Y49" s="48">
        <v>1000</v>
      </c>
      <c r="Z49" s="48">
        <v>2100</v>
      </c>
      <c r="AA49" s="48">
        <v>10193.34</v>
      </c>
      <c r="AB49" s="48">
        <v>66437.14</v>
      </c>
      <c r="AC49" s="48">
        <v>31773.82</v>
      </c>
      <c r="AD49" s="48">
        <v>0</v>
      </c>
      <c r="AE49" s="48">
        <v>1040</v>
      </c>
      <c r="AF49" s="48">
        <v>30579.47</v>
      </c>
      <c r="AG49" s="48">
        <v>19385.07</v>
      </c>
      <c r="AH49" s="48">
        <v>0</v>
      </c>
      <c r="AI49" s="48">
        <v>0</v>
      </c>
      <c r="AJ49" s="48">
        <v>0</v>
      </c>
      <c r="AK49" s="48">
        <v>0</v>
      </c>
      <c r="AL49" s="48">
        <v>0</v>
      </c>
      <c r="AM49" s="48">
        <v>10035</v>
      </c>
      <c r="AN49" s="48">
        <v>51408</v>
      </c>
      <c r="AO49" s="48">
        <v>648208.09</v>
      </c>
      <c r="AP49" s="48">
        <v>0</v>
      </c>
      <c r="AQ49" s="48">
        <v>233587.82</v>
      </c>
      <c r="AR49" s="48">
        <v>37845.78</v>
      </c>
      <c r="AS49" s="48">
        <v>55734.29</v>
      </c>
      <c r="AT49" s="48">
        <v>0</v>
      </c>
      <c r="AU49" s="48">
        <v>59063.72</v>
      </c>
      <c r="AV49" s="48">
        <v>2722.73</v>
      </c>
      <c r="AW49" s="48">
        <v>2251.34</v>
      </c>
      <c r="AX49" s="48">
        <v>4436.76</v>
      </c>
      <c r="AY49" s="48">
        <v>2977.91</v>
      </c>
      <c r="AZ49" s="48">
        <v>35065.86</v>
      </c>
      <c r="BA49" s="48">
        <v>694.81</v>
      </c>
      <c r="BB49" s="48">
        <v>21955.15</v>
      </c>
      <c r="BC49" s="48">
        <v>2261.7600000000002</v>
      </c>
      <c r="BD49" s="48">
        <v>19042.96</v>
      </c>
      <c r="BE49" s="48">
        <v>4364</v>
      </c>
      <c r="BF49" s="48">
        <v>3033.48</v>
      </c>
      <c r="BG49" s="48">
        <v>62092.88</v>
      </c>
      <c r="BH49" s="48">
        <v>12593.64</v>
      </c>
      <c r="BI49" s="48">
        <v>0</v>
      </c>
      <c r="BJ49" s="48">
        <v>6641.17</v>
      </c>
      <c r="BK49" s="48">
        <v>6081.33</v>
      </c>
      <c r="BL49" s="48">
        <v>7837.2</v>
      </c>
      <c r="BM49" s="48">
        <v>72734.92</v>
      </c>
      <c r="BN49" s="48">
        <v>179</v>
      </c>
      <c r="BO49" s="48">
        <v>35192.300000000003</v>
      </c>
      <c r="BP49" s="48">
        <v>20408.27</v>
      </c>
      <c r="BQ49" s="48">
        <v>0</v>
      </c>
      <c r="BR49" s="48">
        <v>0</v>
      </c>
      <c r="BS49" s="48">
        <v>0</v>
      </c>
      <c r="BT49" s="48">
        <v>0</v>
      </c>
      <c r="BU49" s="48">
        <v>0</v>
      </c>
      <c r="BV49" s="48">
        <v>0</v>
      </c>
      <c r="BW49" s="48">
        <v>0</v>
      </c>
      <c r="BX49" s="48">
        <v>0</v>
      </c>
      <c r="BY49" s="48">
        <v>1</v>
      </c>
      <c r="BZ49" s="48">
        <v>0</v>
      </c>
      <c r="CA49" s="453">
        <v>0</v>
      </c>
      <c r="CB49" s="454"/>
      <c r="CC49" s="48">
        <v>0</v>
      </c>
      <c r="CD49" s="48">
        <v>0</v>
      </c>
      <c r="CE49" s="48">
        <v>20108</v>
      </c>
      <c r="CF49" s="48">
        <v>358862</v>
      </c>
      <c r="CG49" s="48">
        <v>0</v>
      </c>
      <c r="CH49" s="48">
        <v>0</v>
      </c>
      <c r="CI49" s="48">
        <v>0</v>
      </c>
      <c r="CJ49" s="49">
        <v>0</v>
      </c>
      <c r="CK49" s="50">
        <f t="shared" si="0"/>
        <v>378970</v>
      </c>
      <c r="CL49" s="50">
        <f t="shared" si="1"/>
        <v>0</v>
      </c>
    </row>
    <row r="50" spans="1:90" ht="25.5">
      <c r="A50" s="48">
        <v>302</v>
      </c>
      <c r="B50" s="48">
        <v>3304</v>
      </c>
      <c r="C50" s="48" t="s">
        <v>67</v>
      </c>
      <c r="D50" s="48" t="s">
        <v>441</v>
      </c>
      <c r="E50" s="48"/>
      <c r="F50" s="48" t="s">
        <v>435</v>
      </c>
      <c r="G50" s="48">
        <v>0</v>
      </c>
      <c r="H50" s="48">
        <v>0</v>
      </c>
      <c r="I50" s="48" t="s">
        <v>436</v>
      </c>
      <c r="J50" s="48" t="s">
        <v>437</v>
      </c>
      <c r="K50" s="48" t="s">
        <v>438</v>
      </c>
      <c r="L50" s="48" t="s">
        <v>439</v>
      </c>
      <c r="M50" s="48" t="s">
        <v>438</v>
      </c>
      <c r="N50" s="48" t="s">
        <v>440</v>
      </c>
      <c r="O50" s="48" t="s">
        <v>181</v>
      </c>
      <c r="P50" s="48" t="s">
        <v>181</v>
      </c>
      <c r="Q50" s="48">
        <v>202425.25</v>
      </c>
      <c r="R50" s="48">
        <v>0</v>
      </c>
      <c r="S50" s="48">
        <v>0</v>
      </c>
      <c r="T50" s="48">
        <v>1089069.53</v>
      </c>
      <c r="U50" s="48">
        <v>0</v>
      </c>
      <c r="V50" s="48">
        <v>78710.570000000007</v>
      </c>
      <c r="W50" s="48">
        <v>0</v>
      </c>
      <c r="X50" s="48">
        <v>73284.990000000005</v>
      </c>
      <c r="Y50" s="48">
        <v>0</v>
      </c>
      <c r="Z50" s="48">
        <v>0</v>
      </c>
      <c r="AA50" s="48">
        <v>0</v>
      </c>
      <c r="AB50" s="48">
        <v>41819.01</v>
      </c>
      <c r="AC50" s="48">
        <v>36688.22</v>
      </c>
      <c r="AD50" s="48">
        <v>16200</v>
      </c>
      <c r="AE50" s="48">
        <v>0</v>
      </c>
      <c r="AF50" s="48">
        <v>15058</v>
      </c>
      <c r="AG50" s="48">
        <v>5913.02</v>
      </c>
      <c r="AH50" s="48">
        <v>0</v>
      </c>
      <c r="AI50" s="48">
        <v>0</v>
      </c>
      <c r="AJ50" s="48">
        <v>0</v>
      </c>
      <c r="AK50" s="48">
        <v>0</v>
      </c>
      <c r="AL50" s="48">
        <v>3634.06</v>
      </c>
      <c r="AM50" s="48">
        <v>6712.81</v>
      </c>
      <c r="AN50" s="48">
        <v>47908.42</v>
      </c>
      <c r="AO50" s="48">
        <v>706121.51</v>
      </c>
      <c r="AP50" s="48">
        <v>0</v>
      </c>
      <c r="AQ50" s="48">
        <v>324175.73</v>
      </c>
      <c r="AR50" s="48">
        <v>35244.65</v>
      </c>
      <c r="AS50" s="48">
        <v>76940.34</v>
      </c>
      <c r="AT50" s="48">
        <v>0</v>
      </c>
      <c r="AU50" s="48">
        <v>20049.11</v>
      </c>
      <c r="AV50" s="48">
        <v>6877.13</v>
      </c>
      <c r="AW50" s="48">
        <v>7506.99</v>
      </c>
      <c r="AX50" s="48">
        <v>6483.97</v>
      </c>
      <c r="AY50" s="48">
        <v>0</v>
      </c>
      <c r="AZ50" s="48">
        <v>27839.58</v>
      </c>
      <c r="BA50" s="48">
        <v>0</v>
      </c>
      <c r="BB50" s="48">
        <v>17771.2</v>
      </c>
      <c r="BC50" s="48">
        <v>2931.8</v>
      </c>
      <c r="BD50" s="48">
        <v>10612.89</v>
      </c>
      <c r="BE50" s="48">
        <v>3558.4</v>
      </c>
      <c r="BF50" s="48">
        <v>11019.01</v>
      </c>
      <c r="BG50" s="48">
        <v>32659.200000000001</v>
      </c>
      <c r="BH50" s="48">
        <v>7169.5</v>
      </c>
      <c r="BI50" s="48">
        <v>0</v>
      </c>
      <c r="BJ50" s="48">
        <v>14707.19</v>
      </c>
      <c r="BK50" s="48">
        <v>5669.63</v>
      </c>
      <c r="BL50" s="48">
        <v>12302.65</v>
      </c>
      <c r="BM50" s="48">
        <v>52159.05</v>
      </c>
      <c r="BN50" s="48">
        <v>26577.9</v>
      </c>
      <c r="BO50" s="48">
        <v>99000.92</v>
      </c>
      <c r="BP50" s="48">
        <v>57884.9</v>
      </c>
      <c r="BQ50" s="48">
        <v>0</v>
      </c>
      <c r="BR50" s="48">
        <v>0</v>
      </c>
      <c r="BS50" s="48">
        <v>0</v>
      </c>
      <c r="BT50" s="48">
        <v>0</v>
      </c>
      <c r="BU50" s="48">
        <v>0</v>
      </c>
      <c r="BV50" s="48">
        <v>0</v>
      </c>
      <c r="BW50" s="48">
        <v>0</v>
      </c>
      <c r="BX50" s="48">
        <v>0</v>
      </c>
      <c r="BY50" s="48">
        <v>1</v>
      </c>
      <c r="BZ50" s="48">
        <v>0</v>
      </c>
      <c r="CA50" s="453">
        <v>0</v>
      </c>
      <c r="CB50" s="454"/>
      <c r="CC50" s="48">
        <v>0</v>
      </c>
      <c r="CD50" s="48">
        <v>0</v>
      </c>
      <c r="CE50" s="48">
        <v>0</v>
      </c>
      <c r="CF50" s="48">
        <v>52161</v>
      </c>
      <c r="CG50" s="48">
        <v>0</v>
      </c>
      <c r="CH50" s="48">
        <v>0</v>
      </c>
      <c r="CI50" s="48">
        <v>0</v>
      </c>
      <c r="CJ50" s="49">
        <v>0</v>
      </c>
      <c r="CK50" s="50">
        <f t="shared" si="0"/>
        <v>52161</v>
      </c>
      <c r="CL50" s="50">
        <f t="shared" si="1"/>
        <v>0</v>
      </c>
    </row>
    <row r="51" spans="1:90" ht="25.5">
      <c r="A51" s="48">
        <v>302</v>
      </c>
      <c r="B51" s="48">
        <v>3305</v>
      </c>
      <c r="C51" s="48" t="s">
        <v>74</v>
      </c>
      <c r="D51" s="48" t="s">
        <v>441</v>
      </c>
      <c r="E51" s="48"/>
      <c r="F51" s="48" t="s">
        <v>435</v>
      </c>
      <c r="G51" s="48">
        <v>0</v>
      </c>
      <c r="H51" s="48">
        <v>2</v>
      </c>
      <c r="I51" s="48" t="s">
        <v>436</v>
      </c>
      <c r="J51" s="48" t="s">
        <v>437</v>
      </c>
      <c r="K51" s="48" t="s">
        <v>438</v>
      </c>
      <c r="L51" s="48" t="s">
        <v>439</v>
      </c>
      <c r="M51" s="48" t="s">
        <v>438</v>
      </c>
      <c r="N51" s="48" t="s">
        <v>440</v>
      </c>
      <c r="O51" s="48" t="s">
        <v>181</v>
      </c>
      <c r="P51" s="48" t="s">
        <v>181</v>
      </c>
      <c r="Q51" s="48">
        <v>93323.839999999997</v>
      </c>
      <c r="R51" s="48">
        <v>0</v>
      </c>
      <c r="S51" s="48">
        <v>0</v>
      </c>
      <c r="T51" s="48">
        <v>723294.54</v>
      </c>
      <c r="U51" s="48">
        <v>0</v>
      </c>
      <c r="V51" s="48">
        <v>40728.97</v>
      </c>
      <c r="W51" s="48">
        <v>0</v>
      </c>
      <c r="X51" s="48">
        <v>23520</v>
      </c>
      <c r="Y51" s="48">
        <v>-10875.96</v>
      </c>
      <c r="Z51" s="48">
        <v>43014.96</v>
      </c>
      <c r="AA51" s="48">
        <v>5042</v>
      </c>
      <c r="AB51" s="48">
        <v>3876.52</v>
      </c>
      <c r="AC51" s="48">
        <v>17553.36</v>
      </c>
      <c r="AD51" s="48">
        <v>882</v>
      </c>
      <c r="AE51" s="48">
        <v>0</v>
      </c>
      <c r="AF51" s="48">
        <v>23744.92</v>
      </c>
      <c r="AG51" s="48">
        <v>9179.77</v>
      </c>
      <c r="AH51" s="48">
        <v>0</v>
      </c>
      <c r="AI51" s="48">
        <v>0</v>
      </c>
      <c r="AJ51" s="48">
        <v>0</v>
      </c>
      <c r="AK51" s="48">
        <v>0</v>
      </c>
      <c r="AL51" s="48">
        <v>0</v>
      </c>
      <c r="AM51" s="48">
        <v>7196</v>
      </c>
      <c r="AN51" s="48">
        <v>41257.17</v>
      </c>
      <c r="AO51" s="48">
        <v>511587.09</v>
      </c>
      <c r="AP51" s="48">
        <v>0</v>
      </c>
      <c r="AQ51" s="48">
        <v>125430.71</v>
      </c>
      <c r="AR51" s="48">
        <v>41541.089999999997</v>
      </c>
      <c r="AS51" s="48">
        <v>35055.9</v>
      </c>
      <c r="AT51" s="48">
        <v>0</v>
      </c>
      <c r="AU51" s="48">
        <v>35911.050000000003</v>
      </c>
      <c r="AV51" s="48">
        <v>1910.66</v>
      </c>
      <c r="AW51" s="48">
        <v>4687</v>
      </c>
      <c r="AX51" s="48">
        <v>6332.33</v>
      </c>
      <c r="AY51" s="48">
        <v>0</v>
      </c>
      <c r="AZ51" s="48">
        <v>8088.33</v>
      </c>
      <c r="BA51" s="48">
        <v>0</v>
      </c>
      <c r="BB51" s="48">
        <v>788.52</v>
      </c>
      <c r="BC51" s="48">
        <v>-829.42</v>
      </c>
      <c r="BD51" s="48">
        <v>12837.2</v>
      </c>
      <c r="BE51" s="48">
        <v>1544.06</v>
      </c>
      <c r="BF51" s="48">
        <v>4938.49</v>
      </c>
      <c r="BG51" s="48">
        <v>39523.75</v>
      </c>
      <c r="BH51" s="48">
        <v>11043.27</v>
      </c>
      <c r="BI51" s="48">
        <v>0</v>
      </c>
      <c r="BJ51" s="48">
        <v>7831.66</v>
      </c>
      <c r="BK51" s="48">
        <v>5134.96</v>
      </c>
      <c r="BL51" s="48">
        <v>4428.33</v>
      </c>
      <c r="BM51" s="48">
        <v>43805.54</v>
      </c>
      <c r="BN51" s="48">
        <v>0</v>
      </c>
      <c r="BO51" s="48">
        <v>19149.78</v>
      </c>
      <c r="BP51" s="48">
        <v>27253.360000000001</v>
      </c>
      <c r="BQ51" s="48">
        <v>0</v>
      </c>
      <c r="BR51" s="48">
        <v>0</v>
      </c>
      <c r="BS51" s="48">
        <v>0</v>
      </c>
      <c r="BT51" s="48">
        <v>0</v>
      </c>
      <c r="BU51" s="48">
        <v>0</v>
      </c>
      <c r="BV51" s="48">
        <v>0</v>
      </c>
      <c r="BW51" s="48">
        <v>0</v>
      </c>
      <c r="BX51" s="48">
        <v>0</v>
      </c>
      <c r="BY51" s="48">
        <v>1</v>
      </c>
      <c r="BZ51" s="48">
        <v>0</v>
      </c>
      <c r="CA51" s="453">
        <v>0</v>
      </c>
      <c r="CB51" s="454"/>
      <c r="CC51" s="48">
        <v>0</v>
      </c>
      <c r="CD51" s="48">
        <v>0</v>
      </c>
      <c r="CE51" s="48">
        <v>73744</v>
      </c>
      <c r="CF51" s="48">
        <v>0</v>
      </c>
      <c r="CG51" s="48">
        <v>0</v>
      </c>
      <c r="CH51" s="48">
        <v>0</v>
      </c>
      <c r="CI51" s="48">
        <v>0</v>
      </c>
      <c r="CJ51" s="49">
        <v>0</v>
      </c>
      <c r="CK51" s="50">
        <f t="shared" si="0"/>
        <v>73744</v>
      </c>
      <c r="CL51" s="50">
        <f t="shared" si="1"/>
        <v>0</v>
      </c>
    </row>
    <row r="52" spans="1:90" ht="25.5">
      <c r="A52" s="48">
        <v>302</v>
      </c>
      <c r="B52" s="48">
        <v>3307</v>
      </c>
      <c r="C52" s="48" t="s">
        <v>452</v>
      </c>
      <c r="D52" s="48" t="s">
        <v>441</v>
      </c>
      <c r="E52" s="48"/>
      <c r="F52" s="48" t="s">
        <v>435</v>
      </c>
      <c r="G52" s="48">
        <v>0</v>
      </c>
      <c r="H52" s="48">
        <v>0</v>
      </c>
      <c r="I52" s="48" t="s">
        <v>436</v>
      </c>
      <c r="J52" s="48" t="s">
        <v>437</v>
      </c>
      <c r="K52" s="48" t="s">
        <v>438</v>
      </c>
      <c r="L52" s="48" t="s">
        <v>439</v>
      </c>
      <c r="M52" s="48" t="s">
        <v>438</v>
      </c>
      <c r="N52" s="48" t="s">
        <v>440</v>
      </c>
      <c r="O52" s="48" t="s">
        <v>181</v>
      </c>
      <c r="P52" s="48" t="s">
        <v>181</v>
      </c>
      <c r="Q52" s="48">
        <v>95063.12</v>
      </c>
      <c r="R52" s="48">
        <v>0</v>
      </c>
      <c r="S52" s="48">
        <v>0</v>
      </c>
      <c r="T52" s="48">
        <v>1080868.3799999999</v>
      </c>
      <c r="U52" s="48">
        <v>0</v>
      </c>
      <c r="V52" s="48">
        <v>13533.28</v>
      </c>
      <c r="W52" s="48">
        <v>0</v>
      </c>
      <c r="X52" s="48">
        <v>27900.03</v>
      </c>
      <c r="Y52" s="48">
        <v>3475</v>
      </c>
      <c r="Z52" s="48">
        <v>250</v>
      </c>
      <c r="AA52" s="48">
        <v>50872.25</v>
      </c>
      <c r="AB52" s="48">
        <v>26887.94</v>
      </c>
      <c r="AC52" s="48">
        <v>22853.67</v>
      </c>
      <c r="AD52" s="48">
        <v>0</v>
      </c>
      <c r="AE52" s="48">
        <v>0</v>
      </c>
      <c r="AF52" s="48">
        <v>12861.8</v>
      </c>
      <c r="AG52" s="48">
        <v>10864.37</v>
      </c>
      <c r="AH52" s="48">
        <v>0</v>
      </c>
      <c r="AI52" s="48">
        <v>0</v>
      </c>
      <c r="AJ52" s="48">
        <v>0</v>
      </c>
      <c r="AK52" s="48">
        <v>0</v>
      </c>
      <c r="AL52" s="48">
        <v>0</v>
      </c>
      <c r="AM52" s="48">
        <v>9709.3799999999992</v>
      </c>
      <c r="AN52" s="48">
        <v>51022.67</v>
      </c>
      <c r="AO52" s="48">
        <v>657250.36</v>
      </c>
      <c r="AP52" s="48">
        <v>0</v>
      </c>
      <c r="AQ52" s="48">
        <v>221814.14</v>
      </c>
      <c r="AR52" s="48">
        <v>62959.19</v>
      </c>
      <c r="AS52" s="48">
        <v>40951.29</v>
      </c>
      <c r="AT52" s="48">
        <v>0</v>
      </c>
      <c r="AU52" s="48">
        <v>19963.8</v>
      </c>
      <c r="AV52" s="48">
        <v>1061.0899999999999</v>
      </c>
      <c r="AW52" s="48">
        <v>2124.3000000000002</v>
      </c>
      <c r="AX52" s="48">
        <v>342.76</v>
      </c>
      <c r="AY52" s="48">
        <v>0</v>
      </c>
      <c r="AZ52" s="48">
        <v>11911.26</v>
      </c>
      <c r="BA52" s="48">
        <v>6257.4</v>
      </c>
      <c r="BB52" s="48">
        <v>3990.16</v>
      </c>
      <c r="BC52" s="48">
        <v>4803.1000000000004</v>
      </c>
      <c r="BD52" s="48">
        <v>33691.14</v>
      </c>
      <c r="BE52" s="48">
        <v>3845.89</v>
      </c>
      <c r="BF52" s="48">
        <v>7709.62</v>
      </c>
      <c r="BG52" s="48">
        <v>45046.42</v>
      </c>
      <c r="BH52" s="48">
        <v>13118.03</v>
      </c>
      <c r="BI52" s="48">
        <v>0</v>
      </c>
      <c r="BJ52" s="48">
        <v>7931.75</v>
      </c>
      <c r="BK52" s="48">
        <v>11288.64</v>
      </c>
      <c r="BL52" s="48">
        <v>10.95</v>
      </c>
      <c r="BM52" s="48">
        <v>63437.97</v>
      </c>
      <c r="BN52" s="48">
        <v>31654.28</v>
      </c>
      <c r="BO52" s="48">
        <v>40579.370000000003</v>
      </c>
      <c r="BP52" s="48">
        <v>34661.800000000003</v>
      </c>
      <c r="BQ52" s="48">
        <v>0</v>
      </c>
      <c r="BR52" s="48">
        <v>0</v>
      </c>
      <c r="BS52" s="48">
        <v>14191.8</v>
      </c>
      <c r="BT52" s="48">
        <v>0</v>
      </c>
      <c r="BU52" s="48">
        <v>0</v>
      </c>
      <c r="BV52" s="48">
        <v>0</v>
      </c>
      <c r="BW52" s="48">
        <v>2333</v>
      </c>
      <c r="BX52" s="48">
        <v>14191.8</v>
      </c>
      <c r="BY52" s="48">
        <v>1</v>
      </c>
      <c r="BZ52" s="48">
        <v>0</v>
      </c>
      <c r="CA52" s="453">
        <v>0</v>
      </c>
      <c r="CB52" s="454"/>
      <c r="CC52" s="48">
        <v>0</v>
      </c>
      <c r="CD52" s="48">
        <v>16524.8</v>
      </c>
      <c r="CE52" s="48">
        <v>19762</v>
      </c>
      <c r="CF52" s="48">
        <v>45803</v>
      </c>
      <c r="CG52" s="48">
        <v>0</v>
      </c>
      <c r="CH52" s="48">
        <v>0</v>
      </c>
      <c r="CI52" s="48">
        <v>0</v>
      </c>
      <c r="CJ52" s="49">
        <v>0</v>
      </c>
      <c r="CK52" s="50">
        <f t="shared" si="0"/>
        <v>65565</v>
      </c>
      <c r="CL52" s="50">
        <f t="shared" si="1"/>
        <v>0</v>
      </c>
    </row>
    <row r="53" spans="1:90" ht="25.5">
      <c r="A53" s="48">
        <v>302</v>
      </c>
      <c r="B53" s="48">
        <v>3309</v>
      </c>
      <c r="C53" s="48" t="s">
        <v>453</v>
      </c>
      <c r="D53" s="48" t="s">
        <v>441</v>
      </c>
      <c r="E53" s="48"/>
      <c r="F53" s="48" t="s">
        <v>435</v>
      </c>
      <c r="G53" s="48">
        <v>0</v>
      </c>
      <c r="H53" s="48">
        <v>0</v>
      </c>
      <c r="I53" s="48" t="s">
        <v>436</v>
      </c>
      <c r="J53" s="48" t="s">
        <v>437</v>
      </c>
      <c r="K53" s="48" t="s">
        <v>438</v>
      </c>
      <c r="L53" s="48" t="s">
        <v>439</v>
      </c>
      <c r="M53" s="48" t="s">
        <v>438</v>
      </c>
      <c r="N53" s="48" t="s">
        <v>440</v>
      </c>
      <c r="O53" s="48" t="s">
        <v>181</v>
      </c>
      <c r="P53" s="48" t="s">
        <v>181</v>
      </c>
      <c r="Q53" s="48">
        <v>49494.51</v>
      </c>
      <c r="R53" s="48">
        <v>0</v>
      </c>
      <c r="S53" s="48">
        <v>0</v>
      </c>
      <c r="T53" s="48">
        <v>1066409.82</v>
      </c>
      <c r="U53" s="48">
        <v>0</v>
      </c>
      <c r="V53" s="48">
        <v>50403.09</v>
      </c>
      <c r="W53" s="48">
        <v>0</v>
      </c>
      <c r="X53" s="48">
        <v>42164.06</v>
      </c>
      <c r="Y53" s="48">
        <v>0</v>
      </c>
      <c r="Z53" s="48">
        <v>650</v>
      </c>
      <c r="AA53" s="48">
        <v>9787.5</v>
      </c>
      <c r="AB53" s="48">
        <v>87376.72</v>
      </c>
      <c r="AC53" s="48">
        <v>25370.44</v>
      </c>
      <c r="AD53" s="48">
        <v>0</v>
      </c>
      <c r="AE53" s="48">
        <v>475</v>
      </c>
      <c r="AF53" s="48">
        <v>27082.7</v>
      </c>
      <c r="AG53" s="48">
        <v>12658.11</v>
      </c>
      <c r="AH53" s="48">
        <v>0</v>
      </c>
      <c r="AI53" s="48">
        <v>0</v>
      </c>
      <c r="AJ53" s="48">
        <v>0</v>
      </c>
      <c r="AK53" s="48">
        <v>0</v>
      </c>
      <c r="AL53" s="48">
        <v>0</v>
      </c>
      <c r="AM53" s="48">
        <v>10233.120000000001</v>
      </c>
      <c r="AN53" s="48">
        <v>51982.33</v>
      </c>
      <c r="AO53" s="48">
        <v>628340.66</v>
      </c>
      <c r="AP53" s="48">
        <v>0</v>
      </c>
      <c r="AQ53" s="48">
        <v>227446.38</v>
      </c>
      <c r="AR53" s="48">
        <v>22764.65</v>
      </c>
      <c r="AS53" s="48">
        <v>48075.23</v>
      </c>
      <c r="AT53" s="48">
        <v>0</v>
      </c>
      <c r="AU53" s="48">
        <v>46202.93</v>
      </c>
      <c r="AV53" s="48">
        <v>4567.96</v>
      </c>
      <c r="AW53" s="48">
        <v>5714.68</v>
      </c>
      <c r="AX53" s="48">
        <v>346.04</v>
      </c>
      <c r="AY53" s="48">
        <v>0</v>
      </c>
      <c r="AZ53" s="48">
        <v>21416.42</v>
      </c>
      <c r="BA53" s="48">
        <v>7084.25</v>
      </c>
      <c r="BB53" s="48">
        <v>20692.14</v>
      </c>
      <c r="BC53" s="48">
        <v>3314.83</v>
      </c>
      <c r="BD53" s="48">
        <v>19716.849999999999</v>
      </c>
      <c r="BE53" s="48">
        <v>4582.3999999999996</v>
      </c>
      <c r="BF53" s="48">
        <v>6858.16</v>
      </c>
      <c r="BG53" s="48">
        <v>59790.71</v>
      </c>
      <c r="BH53" s="48">
        <v>13882.26</v>
      </c>
      <c r="BI53" s="48">
        <v>0</v>
      </c>
      <c r="BJ53" s="48">
        <v>9199.02</v>
      </c>
      <c r="BK53" s="48">
        <v>3524.79</v>
      </c>
      <c r="BL53" s="48">
        <v>5531.44</v>
      </c>
      <c r="BM53" s="48">
        <v>61906.73</v>
      </c>
      <c r="BN53" s="48">
        <v>13967.61</v>
      </c>
      <c r="BO53" s="48">
        <v>26893.5</v>
      </c>
      <c r="BP53" s="48">
        <v>34957.300000000003</v>
      </c>
      <c r="BQ53" s="48">
        <v>0</v>
      </c>
      <c r="BR53" s="48">
        <v>0</v>
      </c>
      <c r="BS53" s="48">
        <v>0</v>
      </c>
      <c r="BT53" s="48">
        <v>0</v>
      </c>
      <c r="BU53" s="48">
        <v>0</v>
      </c>
      <c r="BV53" s="48">
        <v>0</v>
      </c>
      <c r="BW53" s="48">
        <v>0</v>
      </c>
      <c r="BX53" s="48">
        <v>0</v>
      </c>
      <c r="BY53" s="48">
        <v>1</v>
      </c>
      <c r="BZ53" s="48">
        <v>0</v>
      </c>
      <c r="CA53" s="453">
        <v>0</v>
      </c>
      <c r="CB53" s="454"/>
      <c r="CC53" s="48">
        <v>0</v>
      </c>
      <c r="CD53" s="48">
        <v>0</v>
      </c>
      <c r="CE53" s="48">
        <v>25852</v>
      </c>
      <c r="CF53" s="48">
        <v>111458</v>
      </c>
      <c r="CG53" s="48">
        <v>0</v>
      </c>
      <c r="CH53" s="48">
        <v>0</v>
      </c>
      <c r="CI53" s="48">
        <v>0</v>
      </c>
      <c r="CJ53" s="49">
        <v>0</v>
      </c>
      <c r="CK53" s="50">
        <f t="shared" si="0"/>
        <v>137310</v>
      </c>
      <c r="CL53" s="50">
        <f t="shared" si="1"/>
        <v>0</v>
      </c>
    </row>
    <row r="54" spans="1:90" ht="25.5">
      <c r="A54" s="48">
        <v>302</v>
      </c>
      <c r="B54" s="48">
        <v>3311</v>
      </c>
      <c r="C54" s="48" t="s">
        <v>454</v>
      </c>
      <c r="D54" s="48" t="s">
        <v>441</v>
      </c>
      <c r="E54" s="48"/>
      <c r="F54" s="48" t="s">
        <v>435</v>
      </c>
      <c r="G54" s="48">
        <v>0</v>
      </c>
      <c r="H54" s="48">
        <v>0</v>
      </c>
      <c r="I54" s="48" t="s">
        <v>436</v>
      </c>
      <c r="J54" s="48" t="s">
        <v>437</v>
      </c>
      <c r="K54" s="48" t="s">
        <v>438</v>
      </c>
      <c r="L54" s="48" t="s">
        <v>439</v>
      </c>
      <c r="M54" s="48" t="s">
        <v>438</v>
      </c>
      <c r="N54" s="48" t="s">
        <v>440</v>
      </c>
      <c r="O54" s="48" t="s">
        <v>181</v>
      </c>
      <c r="P54" s="48" t="s">
        <v>181</v>
      </c>
      <c r="Q54" s="48">
        <v>79125.820000000007</v>
      </c>
      <c r="R54" s="48">
        <v>0</v>
      </c>
      <c r="S54" s="48">
        <v>0</v>
      </c>
      <c r="T54" s="48">
        <v>2008323.87</v>
      </c>
      <c r="U54" s="48">
        <v>0</v>
      </c>
      <c r="V54" s="48">
        <v>63984.63</v>
      </c>
      <c r="W54" s="48">
        <v>0</v>
      </c>
      <c r="X54" s="48">
        <v>101784.94</v>
      </c>
      <c r="Y54" s="48">
        <v>5600</v>
      </c>
      <c r="Z54" s="48">
        <v>0</v>
      </c>
      <c r="AA54" s="48">
        <v>11433.5</v>
      </c>
      <c r="AB54" s="48">
        <v>66843.58</v>
      </c>
      <c r="AC54" s="48">
        <v>63139.62</v>
      </c>
      <c r="AD54" s="48">
        <v>0</v>
      </c>
      <c r="AE54" s="48">
        <v>0</v>
      </c>
      <c r="AF54" s="48">
        <v>27866.62</v>
      </c>
      <c r="AG54" s="48">
        <v>16738.46</v>
      </c>
      <c r="AH54" s="48">
        <v>0</v>
      </c>
      <c r="AI54" s="48">
        <v>0</v>
      </c>
      <c r="AJ54" s="48">
        <v>0</v>
      </c>
      <c r="AK54" s="48">
        <v>0</v>
      </c>
      <c r="AL54" s="48">
        <v>3681.62</v>
      </c>
      <c r="AM54" s="48">
        <v>23046.26</v>
      </c>
      <c r="AN54" s="48">
        <v>86092.5</v>
      </c>
      <c r="AO54" s="48">
        <v>1193924.04</v>
      </c>
      <c r="AP54" s="48">
        <v>0</v>
      </c>
      <c r="AQ54" s="48">
        <v>516946.56</v>
      </c>
      <c r="AR54" s="48">
        <v>34194.35</v>
      </c>
      <c r="AS54" s="48">
        <v>75354.09</v>
      </c>
      <c r="AT54" s="48">
        <v>0</v>
      </c>
      <c r="AU54" s="48">
        <v>30387.05</v>
      </c>
      <c r="AV54" s="48">
        <v>43982.9</v>
      </c>
      <c r="AW54" s="48">
        <v>7278.96</v>
      </c>
      <c r="AX54" s="48">
        <v>674.04</v>
      </c>
      <c r="AY54" s="48">
        <v>0</v>
      </c>
      <c r="AZ54" s="48">
        <v>25159.65</v>
      </c>
      <c r="BA54" s="48">
        <v>1798.02</v>
      </c>
      <c r="BB54" s="48">
        <v>50805.18</v>
      </c>
      <c r="BC54" s="48">
        <v>7554.67</v>
      </c>
      <c r="BD54" s="48">
        <v>22824.67</v>
      </c>
      <c r="BE54" s="48">
        <v>24259.200000000001</v>
      </c>
      <c r="BF54" s="48">
        <v>11621.85</v>
      </c>
      <c r="BG54" s="48">
        <v>97102.39</v>
      </c>
      <c r="BH54" s="48">
        <v>19992.73</v>
      </c>
      <c r="BI54" s="48">
        <v>0</v>
      </c>
      <c r="BJ54" s="48">
        <v>15703.13</v>
      </c>
      <c r="BK54" s="48">
        <v>12905.87</v>
      </c>
      <c r="BL54" s="48">
        <v>1834.92</v>
      </c>
      <c r="BM54" s="48">
        <v>121058.48</v>
      </c>
      <c r="BN54" s="48">
        <v>59868.74</v>
      </c>
      <c r="BO54" s="48">
        <v>92592.61</v>
      </c>
      <c r="BP54" s="48">
        <v>31622.5</v>
      </c>
      <c r="BQ54" s="48">
        <v>0</v>
      </c>
      <c r="BR54" s="48">
        <v>0</v>
      </c>
      <c r="BS54" s="48">
        <v>0</v>
      </c>
      <c r="BT54" s="48">
        <v>0</v>
      </c>
      <c r="BU54" s="48">
        <v>0</v>
      </c>
      <c r="BV54" s="48">
        <v>0</v>
      </c>
      <c r="BW54" s="48">
        <v>0</v>
      </c>
      <c r="BX54" s="48">
        <v>0</v>
      </c>
      <c r="BY54" s="48">
        <v>1</v>
      </c>
      <c r="BZ54" s="48">
        <v>0</v>
      </c>
      <c r="CA54" s="453">
        <v>0</v>
      </c>
      <c r="CB54" s="454"/>
      <c r="CC54" s="48">
        <v>0</v>
      </c>
      <c r="CD54" s="48">
        <v>0</v>
      </c>
      <c r="CE54" s="48">
        <v>58215</v>
      </c>
      <c r="CF54" s="48">
        <v>0</v>
      </c>
      <c r="CG54" s="48">
        <v>0</v>
      </c>
      <c r="CH54" s="48">
        <v>0</v>
      </c>
      <c r="CI54" s="48">
        <v>0</v>
      </c>
      <c r="CJ54" s="49">
        <v>0</v>
      </c>
      <c r="CK54" s="50">
        <f t="shared" si="0"/>
        <v>58215</v>
      </c>
      <c r="CL54" s="50">
        <f t="shared" si="1"/>
        <v>0</v>
      </c>
    </row>
    <row r="55" spans="1:90" ht="25.5">
      <c r="A55" s="48">
        <v>302</v>
      </c>
      <c r="B55" s="48">
        <v>3312</v>
      </c>
      <c r="C55" s="48" t="s">
        <v>455</v>
      </c>
      <c r="D55" s="48" t="s">
        <v>441</v>
      </c>
      <c r="E55" s="48"/>
      <c r="F55" s="48" t="s">
        <v>435</v>
      </c>
      <c r="G55" s="48">
        <v>0</v>
      </c>
      <c r="H55" s="48">
        <v>2</v>
      </c>
      <c r="I55" s="48" t="s">
        <v>436</v>
      </c>
      <c r="J55" s="48" t="s">
        <v>437</v>
      </c>
      <c r="K55" s="48" t="s">
        <v>438</v>
      </c>
      <c r="L55" s="48" t="s">
        <v>439</v>
      </c>
      <c r="M55" s="48" t="s">
        <v>438</v>
      </c>
      <c r="N55" s="48" t="s">
        <v>440</v>
      </c>
      <c r="O55" s="48" t="s">
        <v>181</v>
      </c>
      <c r="P55" s="48" t="s">
        <v>181</v>
      </c>
      <c r="Q55" s="48">
        <v>53198.85</v>
      </c>
      <c r="R55" s="48">
        <v>0</v>
      </c>
      <c r="S55" s="48">
        <v>0</v>
      </c>
      <c r="T55" s="48">
        <v>966872.14</v>
      </c>
      <c r="U55" s="48">
        <v>0</v>
      </c>
      <c r="V55" s="48">
        <v>23363.35</v>
      </c>
      <c r="W55" s="48">
        <v>0</v>
      </c>
      <c r="X55" s="48">
        <v>28310.12</v>
      </c>
      <c r="Y55" s="48">
        <v>5354.5</v>
      </c>
      <c r="Z55" s="48">
        <v>0</v>
      </c>
      <c r="AA55" s="48">
        <v>0</v>
      </c>
      <c r="AB55" s="48">
        <v>7466.2</v>
      </c>
      <c r="AC55" s="48">
        <v>26598.77</v>
      </c>
      <c r="AD55" s="48">
        <v>0</v>
      </c>
      <c r="AE55" s="48">
        <v>0</v>
      </c>
      <c r="AF55" s="48">
        <v>18578.650000000001</v>
      </c>
      <c r="AG55" s="48">
        <v>5059.95</v>
      </c>
      <c r="AH55" s="48">
        <v>0</v>
      </c>
      <c r="AI55" s="48">
        <v>0</v>
      </c>
      <c r="AJ55" s="48">
        <v>0</v>
      </c>
      <c r="AK55" s="48">
        <v>0</v>
      </c>
      <c r="AL55" s="48">
        <v>2821.88</v>
      </c>
      <c r="AM55" s="48">
        <v>7060.2</v>
      </c>
      <c r="AN55" s="48">
        <v>55389.3</v>
      </c>
      <c r="AO55" s="48">
        <v>604770.64</v>
      </c>
      <c r="AP55" s="48">
        <v>0</v>
      </c>
      <c r="AQ55" s="48">
        <v>200164.35</v>
      </c>
      <c r="AR55" s="48">
        <v>30431.08</v>
      </c>
      <c r="AS55" s="48">
        <v>58492.29</v>
      </c>
      <c r="AT55" s="48">
        <v>0</v>
      </c>
      <c r="AU55" s="48">
        <v>1019.96</v>
      </c>
      <c r="AV55" s="48">
        <v>330</v>
      </c>
      <c r="AW55" s="48">
        <v>1920.03</v>
      </c>
      <c r="AX55" s="48">
        <v>9929.65</v>
      </c>
      <c r="AY55" s="48">
        <v>0</v>
      </c>
      <c r="AZ55" s="48">
        <v>11512.19</v>
      </c>
      <c r="BA55" s="48">
        <v>6716.36</v>
      </c>
      <c r="BB55" s="48">
        <v>23897.599999999999</v>
      </c>
      <c r="BC55" s="48">
        <v>-1120.93</v>
      </c>
      <c r="BD55" s="48">
        <v>7679.6</v>
      </c>
      <c r="BE55" s="48">
        <v>-3370</v>
      </c>
      <c r="BF55" s="48">
        <v>10012.11</v>
      </c>
      <c r="BG55" s="48">
        <v>34834.230000000003</v>
      </c>
      <c r="BH55" s="48">
        <v>12253.06</v>
      </c>
      <c r="BI55" s="48">
        <v>0</v>
      </c>
      <c r="BJ55" s="48">
        <v>8693.81</v>
      </c>
      <c r="BK55" s="48">
        <v>1880.44</v>
      </c>
      <c r="BL55" s="48">
        <v>3062.45</v>
      </c>
      <c r="BM55" s="48">
        <v>64855.12</v>
      </c>
      <c r="BN55" s="48">
        <v>0</v>
      </c>
      <c r="BO55" s="48">
        <v>28347.919999999998</v>
      </c>
      <c r="BP55" s="48">
        <v>30062</v>
      </c>
      <c r="BQ55" s="48">
        <v>0</v>
      </c>
      <c r="BR55" s="48">
        <v>0</v>
      </c>
      <c r="BS55" s="48">
        <v>0</v>
      </c>
      <c r="BT55" s="48">
        <v>0</v>
      </c>
      <c r="BU55" s="48">
        <v>0</v>
      </c>
      <c r="BV55" s="48">
        <v>0</v>
      </c>
      <c r="BW55" s="48">
        <v>0</v>
      </c>
      <c r="BX55" s="48">
        <v>0</v>
      </c>
      <c r="BY55" s="48">
        <v>1</v>
      </c>
      <c r="BZ55" s="48">
        <v>0</v>
      </c>
      <c r="CA55" s="453">
        <v>0</v>
      </c>
      <c r="CB55" s="454"/>
      <c r="CC55" s="48">
        <v>0</v>
      </c>
      <c r="CD55" s="48">
        <v>0</v>
      </c>
      <c r="CE55" s="48">
        <v>53700</v>
      </c>
      <c r="CF55" s="48">
        <v>0</v>
      </c>
      <c r="CG55" s="48">
        <v>0</v>
      </c>
      <c r="CH55" s="48">
        <v>0</v>
      </c>
      <c r="CI55" s="48">
        <v>0</v>
      </c>
      <c r="CJ55" s="49">
        <v>0</v>
      </c>
      <c r="CK55" s="50">
        <f t="shared" si="0"/>
        <v>53700</v>
      </c>
      <c r="CL55" s="50">
        <f t="shared" si="1"/>
        <v>0</v>
      </c>
    </row>
    <row r="56" spans="1:90" ht="25.5">
      <c r="A56" s="48">
        <v>302</v>
      </c>
      <c r="B56" s="48">
        <v>3313</v>
      </c>
      <c r="C56" s="48" t="s">
        <v>456</v>
      </c>
      <c r="D56" s="48" t="s">
        <v>441</v>
      </c>
      <c r="E56" s="48"/>
      <c r="F56" s="48" t="s">
        <v>435</v>
      </c>
      <c r="G56" s="48">
        <v>0</v>
      </c>
      <c r="H56" s="48">
        <v>0</v>
      </c>
      <c r="I56" s="48" t="s">
        <v>436</v>
      </c>
      <c r="J56" s="48" t="s">
        <v>437</v>
      </c>
      <c r="K56" s="48" t="s">
        <v>438</v>
      </c>
      <c r="L56" s="48" t="s">
        <v>439</v>
      </c>
      <c r="M56" s="48" t="s">
        <v>438</v>
      </c>
      <c r="N56" s="48" t="s">
        <v>440</v>
      </c>
      <c r="O56" s="48" t="s">
        <v>181</v>
      </c>
      <c r="P56" s="48" t="s">
        <v>181</v>
      </c>
      <c r="Q56" s="48">
        <v>139850.09</v>
      </c>
      <c r="R56" s="48">
        <v>0</v>
      </c>
      <c r="S56" s="48">
        <v>0</v>
      </c>
      <c r="T56" s="48">
        <v>1042288.68</v>
      </c>
      <c r="U56" s="48">
        <v>0</v>
      </c>
      <c r="V56" s="48">
        <v>41345.760000000002</v>
      </c>
      <c r="W56" s="48">
        <v>0</v>
      </c>
      <c r="X56" s="48">
        <v>71874.83</v>
      </c>
      <c r="Y56" s="48">
        <v>0</v>
      </c>
      <c r="Z56" s="48">
        <v>3475</v>
      </c>
      <c r="AA56" s="48">
        <v>365.65</v>
      </c>
      <c r="AB56" s="48">
        <v>12242.52</v>
      </c>
      <c r="AC56" s="48">
        <v>16340.96</v>
      </c>
      <c r="AD56" s="48">
        <v>4000</v>
      </c>
      <c r="AE56" s="48">
        <v>0</v>
      </c>
      <c r="AF56" s="48">
        <v>7579.52</v>
      </c>
      <c r="AG56" s="48">
        <v>9478.2199999999993</v>
      </c>
      <c r="AH56" s="48">
        <v>0</v>
      </c>
      <c r="AI56" s="48">
        <v>0</v>
      </c>
      <c r="AJ56" s="48">
        <v>0</v>
      </c>
      <c r="AK56" s="48">
        <v>0</v>
      </c>
      <c r="AL56" s="48">
        <v>442.8</v>
      </c>
      <c r="AM56" s="48">
        <v>13395.62</v>
      </c>
      <c r="AN56" s="48">
        <v>36961.17</v>
      </c>
      <c r="AO56" s="48">
        <v>555488.9</v>
      </c>
      <c r="AP56" s="48">
        <v>30889.43</v>
      </c>
      <c r="AQ56" s="48">
        <v>239323.39</v>
      </c>
      <c r="AR56" s="48">
        <v>32915.14</v>
      </c>
      <c r="AS56" s="48">
        <v>58044.56</v>
      </c>
      <c r="AT56" s="48">
        <v>0</v>
      </c>
      <c r="AU56" s="48">
        <v>12721.34</v>
      </c>
      <c r="AV56" s="48">
        <v>10690.17</v>
      </c>
      <c r="AW56" s="48">
        <v>4212.8599999999997</v>
      </c>
      <c r="AX56" s="48">
        <v>13435.87</v>
      </c>
      <c r="AY56" s="48">
        <v>0</v>
      </c>
      <c r="AZ56" s="48">
        <v>13157.84</v>
      </c>
      <c r="BA56" s="48">
        <v>8659.59</v>
      </c>
      <c r="BB56" s="48">
        <v>20503.75</v>
      </c>
      <c r="BC56" s="48">
        <v>2330.6799999999998</v>
      </c>
      <c r="BD56" s="48">
        <v>12131.94</v>
      </c>
      <c r="BE56" s="48">
        <v>3328</v>
      </c>
      <c r="BF56" s="48">
        <v>7645.96</v>
      </c>
      <c r="BG56" s="48">
        <v>41926.44</v>
      </c>
      <c r="BH56" s="48">
        <v>7995.01</v>
      </c>
      <c r="BI56" s="48">
        <v>0</v>
      </c>
      <c r="BJ56" s="48">
        <v>8371.42</v>
      </c>
      <c r="BK56" s="48">
        <v>9280.52</v>
      </c>
      <c r="BL56" s="48">
        <v>5900.58</v>
      </c>
      <c r="BM56" s="48">
        <v>49606.42</v>
      </c>
      <c r="BN56" s="48">
        <v>25454.5</v>
      </c>
      <c r="BO56" s="48">
        <v>49630.51</v>
      </c>
      <c r="BP56" s="48">
        <v>29333.52</v>
      </c>
      <c r="BQ56" s="48">
        <v>0</v>
      </c>
      <c r="BR56" s="48">
        <v>0</v>
      </c>
      <c r="BS56" s="48">
        <v>0</v>
      </c>
      <c r="BT56" s="48">
        <v>0</v>
      </c>
      <c r="BU56" s="48">
        <v>0</v>
      </c>
      <c r="BV56" s="48">
        <v>0</v>
      </c>
      <c r="BW56" s="48">
        <v>0</v>
      </c>
      <c r="BX56" s="48">
        <v>0</v>
      </c>
      <c r="BY56" s="48">
        <v>1</v>
      </c>
      <c r="BZ56" s="48">
        <v>0</v>
      </c>
      <c r="CA56" s="453">
        <v>0</v>
      </c>
      <c r="CB56" s="454"/>
      <c r="CC56" s="48">
        <v>0</v>
      </c>
      <c r="CD56" s="48">
        <v>0</v>
      </c>
      <c r="CE56" s="48">
        <v>23002</v>
      </c>
      <c r="CF56" s="48">
        <v>123660</v>
      </c>
      <c r="CG56" s="48">
        <v>0</v>
      </c>
      <c r="CH56" s="48">
        <v>0</v>
      </c>
      <c r="CI56" s="48">
        <v>0</v>
      </c>
      <c r="CJ56" s="49">
        <v>0</v>
      </c>
      <c r="CK56" s="50">
        <f t="shared" si="0"/>
        <v>146662</v>
      </c>
      <c r="CL56" s="50">
        <f t="shared" si="1"/>
        <v>0</v>
      </c>
    </row>
    <row r="57" spans="1:90" ht="25.5">
      <c r="A57" s="48">
        <v>302</v>
      </c>
      <c r="B57" s="48">
        <v>3314</v>
      </c>
      <c r="C57" s="48" t="s">
        <v>457</v>
      </c>
      <c r="D57" s="48" t="s">
        <v>441</v>
      </c>
      <c r="E57" s="48"/>
      <c r="F57" s="48" t="s">
        <v>435</v>
      </c>
      <c r="G57" s="48">
        <v>0</v>
      </c>
      <c r="H57" s="48">
        <v>0</v>
      </c>
      <c r="I57" s="48" t="s">
        <v>436</v>
      </c>
      <c r="J57" s="48" t="s">
        <v>437</v>
      </c>
      <c r="K57" s="48" t="s">
        <v>438</v>
      </c>
      <c r="L57" s="48" t="s">
        <v>439</v>
      </c>
      <c r="M57" s="48" t="s">
        <v>438</v>
      </c>
      <c r="N57" s="48" t="s">
        <v>440</v>
      </c>
      <c r="O57" s="48" t="s">
        <v>181</v>
      </c>
      <c r="P57" s="48" t="s">
        <v>181</v>
      </c>
      <c r="Q57" s="48">
        <v>24598</v>
      </c>
      <c r="R57" s="48">
        <v>0</v>
      </c>
      <c r="S57" s="48">
        <v>0</v>
      </c>
      <c r="T57" s="48">
        <v>954741.96</v>
      </c>
      <c r="U57" s="48">
        <v>0</v>
      </c>
      <c r="V57" s="48">
        <v>46929.41</v>
      </c>
      <c r="W57" s="48">
        <v>0</v>
      </c>
      <c r="X57" s="48">
        <v>51385.05</v>
      </c>
      <c r="Y57" s="48">
        <v>5000</v>
      </c>
      <c r="Z57" s="48">
        <v>87672.84</v>
      </c>
      <c r="AA57" s="48">
        <v>0</v>
      </c>
      <c r="AB57" s="48">
        <v>38106.629999999997</v>
      </c>
      <c r="AC57" s="48">
        <v>19559.169999999998</v>
      </c>
      <c r="AD57" s="48">
        <v>0</v>
      </c>
      <c r="AE57" s="48">
        <v>0</v>
      </c>
      <c r="AF57" s="48">
        <v>16012.95</v>
      </c>
      <c r="AG57" s="48">
        <v>32280.48</v>
      </c>
      <c r="AH57" s="48">
        <v>0</v>
      </c>
      <c r="AI57" s="48">
        <v>0</v>
      </c>
      <c r="AJ57" s="48">
        <v>0</v>
      </c>
      <c r="AK57" s="48">
        <v>0</v>
      </c>
      <c r="AL57" s="48">
        <v>2682.5</v>
      </c>
      <c r="AM57" s="48">
        <v>9222.5</v>
      </c>
      <c r="AN57" s="48">
        <v>47457.33</v>
      </c>
      <c r="AO57" s="48">
        <v>624593.66</v>
      </c>
      <c r="AP57" s="48">
        <v>3110.18</v>
      </c>
      <c r="AQ57" s="48">
        <v>182084.31</v>
      </c>
      <c r="AR57" s="48">
        <v>34786.559999999998</v>
      </c>
      <c r="AS57" s="48">
        <v>53578.400000000001</v>
      </c>
      <c r="AT57" s="48">
        <v>0</v>
      </c>
      <c r="AU57" s="48">
        <v>48725.02</v>
      </c>
      <c r="AV57" s="48">
        <v>3569.47</v>
      </c>
      <c r="AW57" s="48">
        <v>7634.74</v>
      </c>
      <c r="AX57" s="48">
        <v>7183.35</v>
      </c>
      <c r="AY57" s="48">
        <v>0</v>
      </c>
      <c r="AZ57" s="48">
        <v>27739.53</v>
      </c>
      <c r="BA57" s="48">
        <v>1002.72</v>
      </c>
      <c r="BB57" s="48">
        <v>18721.38</v>
      </c>
      <c r="BC57" s="48">
        <v>4168.12</v>
      </c>
      <c r="BD57" s="48">
        <v>27051.71</v>
      </c>
      <c r="BE57" s="48">
        <v>3068</v>
      </c>
      <c r="BF57" s="48">
        <v>7215.73</v>
      </c>
      <c r="BG57" s="48">
        <v>38961.46</v>
      </c>
      <c r="BH57" s="48">
        <v>20196.96</v>
      </c>
      <c r="BI57" s="48">
        <v>0</v>
      </c>
      <c r="BJ57" s="48">
        <v>16006.69</v>
      </c>
      <c r="BK57" s="48">
        <v>7966.06</v>
      </c>
      <c r="BL57" s="48">
        <v>12694.83</v>
      </c>
      <c r="BM57" s="48">
        <v>57345.22</v>
      </c>
      <c r="BN57" s="48">
        <v>11849</v>
      </c>
      <c r="BO57" s="48">
        <v>48989.35</v>
      </c>
      <c r="BP57" s="48">
        <v>35769.879999999997</v>
      </c>
      <c r="BQ57" s="48">
        <v>0</v>
      </c>
      <c r="BR57" s="48">
        <v>0</v>
      </c>
      <c r="BS57" s="48">
        <v>0</v>
      </c>
      <c r="BT57" s="48">
        <v>0</v>
      </c>
      <c r="BU57" s="48">
        <v>0</v>
      </c>
      <c r="BV57" s="48">
        <v>0</v>
      </c>
      <c r="BW57" s="48">
        <v>0</v>
      </c>
      <c r="BX57" s="48">
        <v>0</v>
      </c>
      <c r="BY57" s="48">
        <v>1</v>
      </c>
      <c r="BZ57" s="48">
        <v>0</v>
      </c>
      <c r="CA57" s="453">
        <v>0</v>
      </c>
      <c r="CB57" s="454"/>
      <c r="CC57" s="48">
        <v>0</v>
      </c>
      <c r="CD57" s="48">
        <v>0</v>
      </c>
      <c r="CE57" s="48">
        <v>12491</v>
      </c>
      <c r="CF57" s="48">
        <v>19145</v>
      </c>
      <c r="CG57" s="48">
        <v>0</v>
      </c>
      <c r="CH57" s="48">
        <v>0</v>
      </c>
      <c r="CI57" s="48">
        <v>0</v>
      </c>
      <c r="CJ57" s="49">
        <v>0</v>
      </c>
      <c r="CK57" s="50">
        <f t="shared" si="0"/>
        <v>31636</v>
      </c>
      <c r="CL57" s="50">
        <f t="shared" si="1"/>
        <v>0</v>
      </c>
    </row>
    <row r="58" spans="1:90" ht="25.5">
      <c r="A58" s="48">
        <v>302</v>
      </c>
      <c r="B58" s="48">
        <v>3315</v>
      </c>
      <c r="C58" s="48" t="s">
        <v>458</v>
      </c>
      <c r="D58" s="48" t="s">
        <v>441</v>
      </c>
      <c r="E58" s="48"/>
      <c r="F58" s="48" t="s">
        <v>435</v>
      </c>
      <c r="G58" s="48">
        <v>0</v>
      </c>
      <c r="H58" s="48">
        <v>0</v>
      </c>
      <c r="I58" s="48" t="s">
        <v>436</v>
      </c>
      <c r="J58" s="48" t="s">
        <v>437</v>
      </c>
      <c r="K58" s="48" t="s">
        <v>438</v>
      </c>
      <c r="L58" s="48" t="s">
        <v>439</v>
      </c>
      <c r="M58" s="48" t="s">
        <v>438</v>
      </c>
      <c r="N58" s="48" t="s">
        <v>440</v>
      </c>
      <c r="O58" s="48" t="s">
        <v>181</v>
      </c>
      <c r="P58" s="48" t="s">
        <v>181</v>
      </c>
      <c r="Q58" s="48">
        <v>148532.57999999999</v>
      </c>
      <c r="R58" s="48">
        <v>0</v>
      </c>
      <c r="S58" s="48">
        <v>0</v>
      </c>
      <c r="T58" s="48">
        <v>948453.48</v>
      </c>
      <c r="U58" s="48">
        <v>0</v>
      </c>
      <c r="V58" s="48">
        <v>18036.650000000001</v>
      </c>
      <c r="W58" s="48">
        <v>0</v>
      </c>
      <c r="X58" s="48">
        <v>20175</v>
      </c>
      <c r="Y58" s="48">
        <v>0</v>
      </c>
      <c r="Z58" s="48">
        <v>3000</v>
      </c>
      <c r="AA58" s="48">
        <v>11233.2</v>
      </c>
      <c r="AB58" s="48">
        <v>35690.68</v>
      </c>
      <c r="AC58" s="48">
        <v>36772.71</v>
      </c>
      <c r="AD58" s="48">
        <v>5525</v>
      </c>
      <c r="AE58" s="48">
        <v>0</v>
      </c>
      <c r="AF58" s="48">
        <v>23120.5</v>
      </c>
      <c r="AG58" s="48">
        <v>55568.98</v>
      </c>
      <c r="AH58" s="48">
        <v>0</v>
      </c>
      <c r="AI58" s="48">
        <v>0</v>
      </c>
      <c r="AJ58" s="48">
        <v>0</v>
      </c>
      <c r="AK58" s="48">
        <v>0</v>
      </c>
      <c r="AL58" s="48">
        <v>2032.5</v>
      </c>
      <c r="AM58" s="48">
        <v>6930</v>
      </c>
      <c r="AN58" s="48">
        <v>52624.5</v>
      </c>
      <c r="AO58" s="48">
        <v>631330.71</v>
      </c>
      <c r="AP58" s="48">
        <v>0</v>
      </c>
      <c r="AQ58" s="48">
        <v>188790.23</v>
      </c>
      <c r="AR58" s="48">
        <v>36634.160000000003</v>
      </c>
      <c r="AS58" s="48">
        <v>56219</v>
      </c>
      <c r="AT58" s="48">
        <v>0</v>
      </c>
      <c r="AU58" s="48">
        <v>71825.5</v>
      </c>
      <c r="AV58" s="48">
        <v>118.45</v>
      </c>
      <c r="AW58" s="48">
        <v>1729.98</v>
      </c>
      <c r="AX58" s="48">
        <v>6404.79</v>
      </c>
      <c r="AY58" s="48">
        <v>2337.3000000000002</v>
      </c>
      <c r="AZ58" s="48">
        <v>7784.89</v>
      </c>
      <c r="BA58" s="48">
        <v>0</v>
      </c>
      <c r="BB58" s="48">
        <v>3878.64</v>
      </c>
      <c r="BC58" s="48">
        <v>2776.78</v>
      </c>
      <c r="BD58" s="48">
        <v>14029</v>
      </c>
      <c r="BE58" s="48">
        <v>3430.4</v>
      </c>
      <c r="BF58" s="48">
        <v>15017.27</v>
      </c>
      <c r="BG58" s="48">
        <v>59827.41</v>
      </c>
      <c r="BH58" s="48">
        <v>10220.66</v>
      </c>
      <c r="BI58" s="48">
        <v>0</v>
      </c>
      <c r="BJ58" s="48">
        <v>6031.07</v>
      </c>
      <c r="BK58" s="48">
        <v>4496.96</v>
      </c>
      <c r="BL58" s="48">
        <v>11148.53</v>
      </c>
      <c r="BM58" s="48">
        <v>61710.19</v>
      </c>
      <c r="BN58" s="48">
        <v>5784.46</v>
      </c>
      <c r="BO58" s="48">
        <v>8570.9699999999993</v>
      </c>
      <c r="BP58" s="48">
        <v>28023.01</v>
      </c>
      <c r="BQ58" s="48">
        <v>0</v>
      </c>
      <c r="BR58" s="48">
        <v>0</v>
      </c>
      <c r="BS58" s="48">
        <v>35766.33</v>
      </c>
      <c r="BT58" s="48">
        <v>0</v>
      </c>
      <c r="BU58" s="48">
        <v>0</v>
      </c>
      <c r="BV58" s="48">
        <v>0</v>
      </c>
      <c r="BW58" s="48">
        <v>0</v>
      </c>
      <c r="BX58" s="48">
        <v>6245</v>
      </c>
      <c r="BY58" s="48">
        <v>1</v>
      </c>
      <c r="BZ58" s="48">
        <v>0</v>
      </c>
      <c r="CA58" s="453">
        <v>0</v>
      </c>
      <c r="CB58" s="454"/>
      <c r="CC58" s="48">
        <v>0</v>
      </c>
      <c r="CD58" s="48">
        <v>6245.4</v>
      </c>
      <c r="CE58" s="48">
        <v>10980</v>
      </c>
      <c r="CF58" s="48">
        <v>82829</v>
      </c>
      <c r="CG58" s="48">
        <v>0</v>
      </c>
      <c r="CH58" s="48">
        <v>0</v>
      </c>
      <c r="CI58" s="48">
        <v>0</v>
      </c>
      <c r="CJ58" s="49">
        <v>0</v>
      </c>
      <c r="CK58" s="50">
        <f t="shared" si="0"/>
        <v>93809</v>
      </c>
      <c r="CL58" s="50">
        <f t="shared" si="1"/>
        <v>0</v>
      </c>
    </row>
    <row r="59" spans="1:90" ht="25.5">
      <c r="A59" s="48">
        <v>302</v>
      </c>
      <c r="B59" s="48">
        <v>3316</v>
      </c>
      <c r="C59" s="48" t="s">
        <v>103</v>
      </c>
      <c r="D59" s="48" t="s">
        <v>441</v>
      </c>
      <c r="E59" s="48"/>
      <c r="F59" s="48" t="s">
        <v>435</v>
      </c>
      <c r="G59" s="48">
        <v>0</v>
      </c>
      <c r="H59" s="48">
        <v>0</v>
      </c>
      <c r="I59" s="48" t="s">
        <v>436</v>
      </c>
      <c r="J59" s="48" t="s">
        <v>437</v>
      </c>
      <c r="K59" s="48" t="s">
        <v>438</v>
      </c>
      <c r="L59" s="48" t="s">
        <v>439</v>
      </c>
      <c r="M59" s="48" t="s">
        <v>438</v>
      </c>
      <c r="N59" s="48" t="s">
        <v>440</v>
      </c>
      <c r="O59" s="48" t="s">
        <v>181</v>
      </c>
      <c r="P59" s="48" t="s">
        <v>181</v>
      </c>
      <c r="Q59" s="48">
        <v>47709.62</v>
      </c>
      <c r="R59" s="48">
        <v>0</v>
      </c>
      <c r="S59" s="48">
        <v>0</v>
      </c>
      <c r="T59" s="48">
        <v>968920.29</v>
      </c>
      <c r="U59" s="48">
        <v>0</v>
      </c>
      <c r="V59" s="48">
        <v>56311.09</v>
      </c>
      <c r="W59" s="48">
        <v>0</v>
      </c>
      <c r="X59" s="48">
        <v>31519.98</v>
      </c>
      <c r="Y59" s="48">
        <v>1449</v>
      </c>
      <c r="Z59" s="48">
        <v>35180.9</v>
      </c>
      <c r="AA59" s="48">
        <v>0</v>
      </c>
      <c r="AB59" s="48">
        <v>29265.29</v>
      </c>
      <c r="AC59" s="48">
        <v>20033.55</v>
      </c>
      <c r="AD59" s="48">
        <v>0</v>
      </c>
      <c r="AE59" s="48">
        <v>0</v>
      </c>
      <c r="AF59" s="48">
        <v>20844.21</v>
      </c>
      <c r="AG59" s="48">
        <v>3449</v>
      </c>
      <c r="AH59" s="48">
        <v>0</v>
      </c>
      <c r="AI59" s="48">
        <v>0</v>
      </c>
      <c r="AJ59" s="48">
        <v>0</v>
      </c>
      <c r="AK59" s="48">
        <v>0</v>
      </c>
      <c r="AL59" s="48">
        <v>4673.83</v>
      </c>
      <c r="AM59" s="48">
        <v>7060</v>
      </c>
      <c r="AN59" s="48">
        <v>54190.57</v>
      </c>
      <c r="AO59" s="48">
        <v>618049.97</v>
      </c>
      <c r="AP59" s="48">
        <v>0</v>
      </c>
      <c r="AQ59" s="48">
        <v>170981.2</v>
      </c>
      <c r="AR59" s="48">
        <v>26919.88</v>
      </c>
      <c r="AS59" s="48">
        <v>47865.82</v>
      </c>
      <c r="AT59" s="48">
        <v>0</v>
      </c>
      <c r="AU59" s="48">
        <v>22148.91</v>
      </c>
      <c r="AV59" s="48">
        <v>3782.5</v>
      </c>
      <c r="AW59" s="48">
        <v>3617.57</v>
      </c>
      <c r="AX59" s="48">
        <v>347.68</v>
      </c>
      <c r="AY59" s="48">
        <v>900</v>
      </c>
      <c r="AZ59" s="48">
        <v>11109.93</v>
      </c>
      <c r="BA59" s="48">
        <v>245.74</v>
      </c>
      <c r="BB59" s="48">
        <v>10686.52</v>
      </c>
      <c r="BC59" s="48">
        <v>2163.96</v>
      </c>
      <c r="BD59" s="48">
        <v>17968.919999999998</v>
      </c>
      <c r="BE59" s="48">
        <v>0</v>
      </c>
      <c r="BF59" s="48">
        <v>10873.71</v>
      </c>
      <c r="BG59" s="48">
        <v>58388.17</v>
      </c>
      <c r="BH59" s="48">
        <v>9407.6200000000008</v>
      </c>
      <c r="BI59" s="48">
        <v>0</v>
      </c>
      <c r="BJ59" s="48">
        <v>7197.05</v>
      </c>
      <c r="BK59" s="48">
        <v>10181.25</v>
      </c>
      <c r="BL59" s="48">
        <v>8781.36</v>
      </c>
      <c r="BM59" s="48">
        <v>53202.66</v>
      </c>
      <c r="BN59" s="48">
        <v>28957.5</v>
      </c>
      <c r="BO59" s="48">
        <v>61692.54</v>
      </c>
      <c r="BP59" s="48">
        <v>59964.15</v>
      </c>
      <c r="BQ59" s="48">
        <v>0</v>
      </c>
      <c r="BR59" s="48">
        <v>0</v>
      </c>
      <c r="BS59" s="48">
        <v>0</v>
      </c>
      <c r="BT59" s="48">
        <v>0</v>
      </c>
      <c r="BU59" s="48">
        <v>0</v>
      </c>
      <c r="BV59" s="48">
        <v>0</v>
      </c>
      <c r="BW59" s="48">
        <v>0</v>
      </c>
      <c r="BX59" s="48">
        <v>0</v>
      </c>
      <c r="BY59" s="48">
        <v>1</v>
      </c>
      <c r="BZ59" s="48">
        <v>0</v>
      </c>
      <c r="CA59" s="453">
        <v>0</v>
      </c>
      <c r="CB59" s="454"/>
      <c r="CC59" s="48">
        <v>0</v>
      </c>
      <c r="CD59" s="48">
        <v>0</v>
      </c>
      <c r="CE59" s="48">
        <v>35173</v>
      </c>
      <c r="CF59" s="48">
        <v>0</v>
      </c>
      <c r="CG59" s="48">
        <v>0</v>
      </c>
      <c r="CH59" s="48">
        <v>0</v>
      </c>
      <c r="CI59" s="48">
        <v>0</v>
      </c>
      <c r="CJ59" s="49">
        <v>0</v>
      </c>
      <c r="CK59" s="50">
        <f t="shared" si="0"/>
        <v>35173</v>
      </c>
      <c r="CL59" s="50">
        <f t="shared" si="1"/>
        <v>0</v>
      </c>
    </row>
    <row r="60" spans="1:90" ht="25.5">
      <c r="A60" s="48">
        <v>302</v>
      </c>
      <c r="B60" s="48">
        <v>3317</v>
      </c>
      <c r="C60" s="48" t="s">
        <v>459</v>
      </c>
      <c r="D60" s="48" t="s">
        <v>441</v>
      </c>
      <c r="E60" s="48"/>
      <c r="F60" s="48" t="s">
        <v>435</v>
      </c>
      <c r="G60" s="48">
        <v>0</v>
      </c>
      <c r="H60" s="48">
        <v>1</v>
      </c>
      <c r="I60" s="48" t="s">
        <v>436</v>
      </c>
      <c r="J60" s="48" t="s">
        <v>437</v>
      </c>
      <c r="K60" s="48" t="s">
        <v>438</v>
      </c>
      <c r="L60" s="48" t="s">
        <v>439</v>
      </c>
      <c r="M60" s="48" t="s">
        <v>438</v>
      </c>
      <c r="N60" s="48" t="s">
        <v>440</v>
      </c>
      <c r="O60" s="48" t="s">
        <v>181</v>
      </c>
      <c r="P60" s="48" t="s">
        <v>181</v>
      </c>
      <c r="Q60" s="48">
        <v>151052</v>
      </c>
      <c r="R60" s="48">
        <v>0</v>
      </c>
      <c r="S60" s="48">
        <v>0</v>
      </c>
      <c r="T60" s="48">
        <v>1179831.7</v>
      </c>
      <c r="U60" s="48">
        <v>0</v>
      </c>
      <c r="V60" s="48">
        <v>69021.350000000006</v>
      </c>
      <c r="W60" s="48">
        <v>0</v>
      </c>
      <c r="X60" s="48">
        <v>70559.94</v>
      </c>
      <c r="Y60" s="48">
        <v>3475</v>
      </c>
      <c r="Z60" s="48">
        <v>3950</v>
      </c>
      <c r="AA60" s="48">
        <v>2347.5</v>
      </c>
      <c r="AB60" s="48">
        <v>34744.980000000003</v>
      </c>
      <c r="AC60" s="48">
        <v>35613.599999999999</v>
      </c>
      <c r="AD60" s="48">
        <v>7896</v>
      </c>
      <c r="AE60" s="48">
        <v>2760</v>
      </c>
      <c r="AF60" s="48">
        <v>4091</v>
      </c>
      <c r="AG60" s="48">
        <v>30177.07</v>
      </c>
      <c r="AH60" s="48">
        <v>0</v>
      </c>
      <c r="AI60" s="48">
        <v>0</v>
      </c>
      <c r="AJ60" s="48">
        <v>0</v>
      </c>
      <c r="AK60" s="48">
        <v>483.35</v>
      </c>
      <c r="AL60" s="48">
        <v>6105.62</v>
      </c>
      <c r="AM60" s="48">
        <v>7060</v>
      </c>
      <c r="AN60" s="48">
        <v>41702.83</v>
      </c>
      <c r="AO60" s="48">
        <v>622264.31999999995</v>
      </c>
      <c r="AP60" s="48">
        <v>57875.35</v>
      </c>
      <c r="AQ60" s="48">
        <v>365804.38</v>
      </c>
      <c r="AR60" s="48">
        <v>28052.21</v>
      </c>
      <c r="AS60" s="48">
        <v>57814.31</v>
      </c>
      <c r="AT60" s="48">
        <v>0</v>
      </c>
      <c r="AU60" s="48">
        <v>39941.89</v>
      </c>
      <c r="AV60" s="48">
        <v>13304.11</v>
      </c>
      <c r="AW60" s="48">
        <v>3613.55</v>
      </c>
      <c r="AX60" s="48">
        <v>6704.74</v>
      </c>
      <c r="AY60" s="48">
        <v>0</v>
      </c>
      <c r="AZ60" s="48">
        <v>21742.68</v>
      </c>
      <c r="BA60" s="48">
        <v>7678.66</v>
      </c>
      <c r="BB60" s="48">
        <v>40894.089999999997</v>
      </c>
      <c r="BC60" s="48">
        <v>1010.22</v>
      </c>
      <c r="BD60" s="48">
        <v>27555.91</v>
      </c>
      <c r="BE60" s="48">
        <v>-3900</v>
      </c>
      <c r="BF60" s="48">
        <v>10301.719999999999</v>
      </c>
      <c r="BG60" s="48">
        <v>33872.269999999997</v>
      </c>
      <c r="BH60" s="48">
        <v>12440.87</v>
      </c>
      <c r="BI60" s="48">
        <v>0</v>
      </c>
      <c r="BJ60" s="48">
        <v>10090.93</v>
      </c>
      <c r="BK60" s="48">
        <v>7457.47</v>
      </c>
      <c r="BL60" s="48">
        <v>7096.95</v>
      </c>
      <c r="BM60" s="48">
        <v>80426.17</v>
      </c>
      <c r="BN60" s="48">
        <v>28597.37</v>
      </c>
      <c r="BO60" s="48">
        <v>43604.24</v>
      </c>
      <c r="BP60" s="48">
        <v>23373</v>
      </c>
      <c r="BQ60" s="48">
        <v>0</v>
      </c>
      <c r="BR60" s="48">
        <v>0</v>
      </c>
      <c r="BS60" s="48">
        <v>0</v>
      </c>
      <c r="BT60" s="48">
        <v>2791</v>
      </c>
      <c r="BU60" s="48">
        <v>0</v>
      </c>
      <c r="BV60" s="48">
        <v>0</v>
      </c>
      <c r="BW60" s="48">
        <v>0</v>
      </c>
      <c r="BX60" s="48">
        <v>0</v>
      </c>
      <c r="BY60" s="48">
        <v>1</v>
      </c>
      <c r="BZ60" s="48">
        <v>0</v>
      </c>
      <c r="CA60" s="453">
        <v>0</v>
      </c>
      <c r="CB60" s="454"/>
      <c r="CC60" s="48">
        <v>0</v>
      </c>
      <c r="CD60" s="48">
        <v>0</v>
      </c>
      <c r="CE60" s="48">
        <v>103254</v>
      </c>
      <c r="CF60" s="48">
        <v>0</v>
      </c>
      <c r="CG60" s="48">
        <v>0</v>
      </c>
      <c r="CH60" s="48">
        <v>0</v>
      </c>
      <c r="CI60" s="48">
        <v>-2791</v>
      </c>
      <c r="CJ60" s="49">
        <v>0</v>
      </c>
      <c r="CK60" s="50">
        <f t="shared" si="0"/>
        <v>100463</v>
      </c>
      <c r="CL60" s="50">
        <f t="shared" si="1"/>
        <v>0</v>
      </c>
    </row>
    <row r="61" spans="1:90" ht="25.5">
      <c r="A61" s="48">
        <v>302</v>
      </c>
      <c r="B61" s="48">
        <v>3500</v>
      </c>
      <c r="C61" s="48" t="s">
        <v>460</v>
      </c>
      <c r="D61" s="48" t="s">
        <v>441</v>
      </c>
      <c r="E61" s="48"/>
      <c r="F61" s="48" t="s">
        <v>435</v>
      </c>
      <c r="G61" s="48">
        <v>0</v>
      </c>
      <c r="H61" s="48">
        <v>0</v>
      </c>
      <c r="I61" s="48" t="s">
        <v>436</v>
      </c>
      <c r="J61" s="48" t="s">
        <v>437</v>
      </c>
      <c r="K61" s="48" t="s">
        <v>438</v>
      </c>
      <c r="L61" s="48" t="s">
        <v>439</v>
      </c>
      <c r="M61" s="48" t="s">
        <v>438</v>
      </c>
      <c r="N61" s="48" t="s">
        <v>440</v>
      </c>
      <c r="O61" s="48" t="s">
        <v>181</v>
      </c>
      <c r="P61" s="48" t="s">
        <v>181</v>
      </c>
      <c r="Q61" s="48">
        <v>112882.12</v>
      </c>
      <c r="R61" s="48">
        <v>0</v>
      </c>
      <c r="S61" s="48">
        <v>0</v>
      </c>
      <c r="T61" s="48">
        <v>808949.72</v>
      </c>
      <c r="U61" s="48">
        <v>0</v>
      </c>
      <c r="V61" s="48">
        <v>19566.98</v>
      </c>
      <c r="W61" s="48">
        <v>0</v>
      </c>
      <c r="X61" s="48">
        <v>19139.97</v>
      </c>
      <c r="Y61" s="48">
        <v>6667</v>
      </c>
      <c r="Z61" s="48">
        <v>2340</v>
      </c>
      <c r="AA61" s="48">
        <v>0</v>
      </c>
      <c r="AB61" s="48">
        <v>16603.38</v>
      </c>
      <c r="AC61" s="48">
        <v>0</v>
      </c>
      <c r="AD61" s="48">
        <v>0</v>
      </c>
      <c r="AE61" s="48">
        <v>3325</v>
      </c>
      <c r="AF61" s="48">
        <v>1212</v>
      </c>
      <c r="AG61" s="48">
        <v>585.5</v>
      </c>
      <c r="AH61" s="48">
        <v>0</v>
      </c>
      <c r="AI61" s="48">
        <v>0</v>
      </c>
      <c r="AJ61" s="48">
        <v>0</v>
      </c>
      <c r="AK61" s="48">
        <v>0</v>
      </c>
      <c r="AL61" s="48">
        <v>0</v>
      </c>
      <c r="AM61" s="48">
        <v>6141.88</v>
      </c>
      <c r="AN61" s="48">
        <v>57971.17</v>
      </c>
      <c r="AO61" s="48">
        <v>603387.81999999995</v>
      </c>
      <c r="AP61" s="48">
        <v>0</v>
      </c>
      <c r="AQ61" s="48">
        <v>187590.99</v>
      </c>
      <c r="AR61" s="48">
        <v>15262.91</v>
      </c>
      <c r="AS61" s="48">
        <v>39998.160000000003</v>
      </c>
      <c r="AT61" s="48">
        <v>0</v>
      </c>
      <c r="AU61" s="48">
        <v>1922.77</v>
      </c>
      <c r="AV61" s="48">
        <v>418.75</v>
      </c>
      <c r="AW61" s="48">
        <v>224.17</v>
      </c>
      <c r="AX61" s="48">
        <v>211.56</v>
      </c>
      <c r="AY61" s="48">
        <v>0</v>
      </c>
      <c r="AZ61" s="48">
        <v>14727.1</v>
      </c>
      <c r="BA61" s="48">
        <v>0</v>
      </c>
      <c r="BB61" s="48">
        <v>13491.91</v>
      </c>
      <c r="BC61" s="48">
        <v>1297.25</v>
      </c>
      <c r="BD61" s="48">
        <v>12041.88</v>
      </c>
      <c r="BE61" s="48">
        <v>2457.6</v>
      </c>
      <c r="BF61" s="48">
        <v>3441.38</v>
      </c>
      <c r="BG61" s="48">
        <v>10105.17</v>
      </c>
      <c r="BH61" s="48">
        <v>8439.58</v>
      </c>
      <c r="BI61" s="48">
        <v>0</v>
      </c>
      <c r="BJ61" s="48">
        <v>7055.22</v>
      </c>
      <c r="BK61" s="48">
        <v>6128.79</v>
      </c>
      <c r="BL61" s="48">
        <v>4573.99</v>
      </c>
      <c r="BM61" s="48">
        <v>38833.199999999997</v>
      </c>
      <c r="BN61" s="48">
        <v>14530.82</v>
      </c>
      <c r="BO61" s="48">
        <v>45000.800000000003</v>
      </c>
      <c r="BP61" s="48">
        <v>14898.85</v>
      </c>
      <c r="BQ61" s="48">
        <v>0</v>
      </c>
      <c r="BR61" s="48">
        <v>0</v>
      </c>
      <c r="BS61" s="48">
        <v>0</v>
      </c>
      <c r="BT61" s="48">
        <v>0</v>
      </c>
      <c r="BU61" s="48">
        <v>0</v>
      </c>
      <c r="BV61" s="48">
        <v>0</v>
      </c>
      <c r="BW61" s="48">
        <v>0</v>
      </c>
      <c r="BX61" s="48">
        <v>0</v>
      </c>
      <c r="BY61" s="48">
        <v>1</v>
      </c>
      <c r="BZ61" s="48">
        <v>0</v>
      </c>
      <c r="CA61" s="453">
        <v>0</v>
      </c>
      <c r="CB61" s="454"/>
      <c r="CC61" s="48">
        <v>0</v>
      </c>
      <c r="CD61" s="48">
        <v>0</v>
      </c>
      <c r="CE61" s="48">
        <v>9344</v>
      </c>
      <c r="CF61" s="48">
        <v>0</v>
      </c>
      <c r="CG61" s="48">
        <v>0</v>
      </c>
      <c r="CH61" s="48">
        <v>0</v>
      </c>
      <c r="CI61" s="48">
        <v>0</v>
      </c>
      <c r="CJ61" s="49">
        <v>0</v>
      </c>
      <c r="CK61" s="50">
        <f t="shared" si="0"/>
        <v>9344</v>
      </c>
      <c r="CL61" s="50">
        <f t="shared" si="1"/>
        <v>0</v>
      </c>
    </row>
    <row r="62" spans="1:90" ht="25.5">
      <c r="A62" s="48">
        <v>302</v>
      </c>
      <c r="B62" s="48">
        <v>3501</v>
      </c>
      <c r="C62" s="48" t="s">
        <v>461</v>
      </c>
      <c r="D62" s="48" t="s">
        <v>441</v>
      </c>
      <c r="E62" s="48"/>
      <c r="F62" s="48" t="s">
        <v>435</v>
      </c>
      <c r="G62" s="48">
        <v>0</v>
      </c>
      <c r="H62" s="48">
        <v>1</v>
      </c>
      <c r="I62" s="48" t="s">
        <v>436</v>
      </c>
      <c r="J62" s="48" t="s">
        <v>437</v>
      </c>
      <c r="K62" s="48" t="s">
        <v>438</v>
      </c>
      <c r="L62" s="48" t="s">
        <v>439</v>
      </c>
      <c r="M62" s="48" t="s">
        <v>438</v>
      </c>
      <c r="N62" s="48" t="s">
        <v>440</v>
      </c>
      <c r="O62" s="48" t="s">
        <v>181</v>
      </c>
      <c r="P62" s="48" t="s">
        <v>181</v>
      </c>
      <c r="Q62" s="48">
        <v>60000.26</v>
      </c>
      <c r="R62" s="48">
        <v>0</v>
      </c>
      <c r="S62" s="48">
        <v>0</v>
      </c>
      <c r="T62" s="48">
        <v>1094521.6299999999</v>
      </c>
      <c r="U62" s="48">
        <v>0</v>
      </c>
      <c r="V62" s="48">
        <v>45077.56</v>
      </c>
      <c r="W62" s="48">
        <v>0</v>
      </c>
      <c r="X62" s="48">
        <v>48664.85</v>
      </c>
      <c r="Y62" s="48">
        <v>0</v>
      </c>
      <c r="Z62" s="48">
        <v>52761.32</v>
      </c>
      <c r="AA62" s="48">
        <v>754.66</v>
      </c>
      <c r="AB62" s="48">
        <v>27409.38</v>
      </c>
      <c r="AC62" s="48">
        <v>21203.23</v>
      </c>
      <c r="AD62" s="48">
        <v>3495</v>
      </c>
      <c r="AE62" s="48">
        <v>535</v>
      </c>
      <c r="AF62" s="48">
        <v>19311.240000000002</v>
      </c>
      <c r="AG62" s="48">
        <v>21304.34</v>
      </c>
      <c r="AH62" s="48">
        <v>0</v>
      </c>
      <c r="AI62" s="48">
        <v>0</v>
      </c>
      <c r="AJ62" s="48">
        <v>0</v>
      </c>
      <c r="AK62" s="48">
        <v>0</v>
      </c>
      <c r="AL62" s="48">
        <v>0</v>
      </c>
      <c r="AM62" s="48">
        <v>0</v>
      </c>
      <c r="AN62" s="48">
        <v>56715.45</v>
      </c>
      <c r="AO62" s="48">
        <v>715235.4</v>
      </c>
      <c r="AP62" s="48">
        <v>0</v>
      </c>
      <c r="AQ62" s="48">
        <v>214774.01</v>
      </c>
      <c r="AR62" s="48">
        <v>69522.09</v>
      </c>
      <c r="AS62" s="48">
        <v>72505.47</v>
      </c>
      <c r="AT62" s="48">
        <v>0</v>
      </c>
      <c r="AU62" s="48">
        <v>35425.39</v>
      </c>
      <c r="AV62" s="48">
        <v>7389.97</v>
      </c>
      <c r="AW62" s="48">
        <v>7752.78</v>
      </c>
      <c r="AX62" s="48">
        <v>7982.25</v>
      </c>
      <c r="AY62" s="48">
        <v>0</v>
      </c>
      <c r="AZ62" s="48">
        <v>14950.65</v>
      </c>
      <c r="BA62" s="48">
        <v>1596.85</v>
      </c>
      <c r="BB62" s="48">
        <v>1786.35</v>
      </c>
      <c r="BC62" s="48">
        <v>8681.33</v>
      </c>
      <c r="BD62" s="48">
        <v>24306.85</v>
      </c>
      <c r="BE62" s="48">
        <v>3826</v>
      </c>
      <c r="BF62" s="48">
        <v>7736.48</v>
      </c>
      <c r="BG62" s="48">
        <v>49082.6</v>
      </c>
      <c r="BH62" s="48">
        <v>15731.16</v>
      </c>
      <c r="BI62" s="48">
        <v>0</v>
      </c>
      <c r="BJ62" s="48">
        <v>24038.21</v>
      </c>
      <c r="BK62" s="48">
        <v>9005.41</v>
      </c>
      <c r="BL62" s="48">
        <v>4273.8</v>
      </c>
      <c r="BM62" s="48">
        <v>58620.12</v>
      </c>
      <c r="BN62" s="48">
        <v>61138.38</v>
      </c>
      <c r="BO62" s="48">
        <v>50738.44</v>
      </c>
      <c r="BP62" s="48">
        <v>34792.43</v>
      </c>
      <c r="BQ62" s="48">
        <v>0</v>
      </c>
      <c r="BR62" s="48">
        <v>0</v>
      </c>
      <c r="BS62" s="48">
        <v>0</v>
      </c>
      <c r="BT62" s="48">
        <v>0</v>
      </c>
      <c r="BU62" s="48">
        <v>0</v>
      </c>
      <c r="BV62" s="48">
        <v>0</v>
      </c>
      <c r="BW62" s="48">
        <v>0</v>
      </c>
      <c r="BX62" s="48">
        <v>19335</v>
      </c>
      <c r="BY62" s="48">
        <v>1</v>
      </c>
      <c r="BZ62" s="48">
        <v>0</v>
      </c>
      <c r="CA62" s="453">
        <v>19335.3</v>
      </c>
      <c r="CB62" s="454"/>
      <c r="CC62" s="48">
        <v>0</v>
      </c>
      <c r="CD62" s="48">
        <v>0</v>
      </c>
      <c r="CE62" s="48">
        <v>0</v>
      </c>
      <c r="CF62" s="48">
        <v>-49139</v>
      </c>
      <c r="CG62" s="48">
        <v>0</v>
      </c>
      <c r="CH62" s="48">
        <v>0</v>
      </c>
      <c r="CI62" s="48">
        <v>0</v>
      </c>
      <c r="CJ62" s="49">
        <v>0</v>
      </c>
      <c r="CK62" s="50">
        <f t="shared" si="0"/>
        <v>-49139</v>
      </c>
      <c r="CL62" s="50">
        <f t="shared" si="1"/>
        <v>0</v>
      </c>
    </row>
    <row r="63" spans="1:90" ht="25.5">
      <c r="A63" s="48">
        <v>302</v>
      </c>
      <c r="B63" s="48">
        <v>3502</v>
      </c>
      <c r="C63" s="48" t="s">
        <v>462</v>
      </c>
      <c r="D63" s="48" t="s">
        <v>441</v>
      </c>
      <c r="E63" s="48"/>
      <c r="F63" s="48" t="s">
        <v>435</v>
      </c>
      <c r="G63" s="48">
        <v>0</v>
      </c>
      <c r="H63" s="48">
        <v>0</v>
      </c>
      <c r="I63" s="48" t="s">
        <v>436</v>
      </c>
      <c r="J63" s="48" t="s">
        <v>437</v>
      </c>
      <c r="K63" s="48" t="s">
        <v>438</v>
      </c>
      <c r="L63" s="48" t="s">
        <v>439</v>
      </c>
      <c r="M63" s="48" t="s">
        <v>438</v>
      </c>
      <c r="N63" s="48" t="s">
        <v>440</v>
      </c>
      <c r="O63" s="48" t="s">
        <v>181</v>
      </c>
      <c r="P63" s="48" t="s">
        <v>181</v>
      </c>
      <c r="Q63" s="48">
        <v>566880.97</v>
      </c>
      <c r="R63" s="48">
        <v>0</v>
      </c>
      <c r="S63" s="48">
        <v>1</v>
      </c>
      <c r="T63" s="48">
        <v>1932398</v>
      </c>
      <c r="U63" s="48">
        <v>0</v>
      </c>
      <c r="V63" s="48">
        <v>145316</v>
      </c>
      <c r="W63" s="48">
        <v>0</v>
      </c>
      <c r="X63" s="48">
        <v>121050</v>
      </c>
      <c r="Y63" s="48">
        <v>0</v>
      </c>
      <c r="Z63" s="48">
        <v>1081</v>
      </c>
      <c r="AA63" s="48">
        <v>195</v>
      </c>
      <c r="AB63" s="48">
        <v>20659</v>
      </c>
      <c r="AC63" s="48">
        <v>25475</v>
      </c>
      <c r="AD63" s="48">
        <v>0</v>
      </c>
      <c r="AE63" s="48">
        <v>0</v>
      </c>
      <c r="AF63" s="48">
        <v>19669</v>
      </c>
      <c r="AG63" s="48">
        <v>16543</v>
      </c>
      <c r="AH63" s="48">
        <v>0</v>
      </c>
      <c r="AI63" s="48">
        <v>0</v>
      </c>
      <c r="AJ63" s="48">
        <v>0</v>
      </c>
      <c r="AK63" s="48">
        <v>0</v>
      </c>
      <c r="AL63" s="48">
        <v>0</v>
      </c>
      <c r="AM63" s="48">
        <v>0</v>
      </c>
      <c r="AN63" s="48">
        <v>95511</v>
      </c>
      <c r="AO63" s="48">
        <v>1115677</v>
      </c>
      <c r="AP63" s="48">
        <v>0</v>
      </c>
      <c r="AQ63" s="48">
        <v>529074</v>
      </c>
      <c r="AR63" s="48">
        <v>72431</v>
      </c>
      <c r="AS63" s="48">
        <v>57172</v>
      </c>
      <c r="AT63" s="48">
        <v>0</v>
      </c>
      <c r="AU63" s="48">
        <v>20781</v>
      </c>
      <c r="AV63" s="48">
        <v>3609</v>
      </c>
      <c r="AW63" s="48">
        <v>3319</v>
      </c>
      <c r="AX63" s="48">
        <v>602</v>
      </c>
      <c r="AY63" s="48">
        <v>0</v>
      </c>
      <c r="AZ63" s="48">
        <v>14231</v>
      </c>
      <c r="BA63" s="48">
        <v>23</v>
      </c>
      <c r="BB63" s="48">
        <v>2377</v>
      </c>
      <c r="BC63" s="48">
        <v>6542</v>
      </c>
      <c r="BD63" s="48">
        <v>24581</v>
      </c>
      <c r="BE63" s="48">
        <v>6093</v>
      </c>
      <c r="BF63" s="48">
        <v>10488</v>
      </c>
      <c r="BG63" s="48">
        <v>48144</v>
      </c>
      <c r="BH63" s="48">
        <v>15849</v>
      </c>
      <c r="BI63" s="48">
        <v>0</v>
      </c>
      <c r="BJ63" s="48">
        <v>19792</v>
      </c>
      <c r="BK63" s="48">
        <v>13248</v>
      </c>
      <c r="BL63" s="48">
        <v>6109</v>
      </c>
      <c r="BM63" s="48">
        <v>102378</v>
      </c>
      <c r="BN63" s="48">
        <v>3325</v>
      </c>
      <c r="BO63" s="48">
        <v>133032</v>
      </c>
      <c r="BP63" s="48">
        <v>43376</v>
      </c>
      <c r="BQ63" s="48">
        <v>0</v>
      </c>
      <c r="BR63" s="48">
        <v>0</v>
      </c>
      <c r="BS63" s="48">
        <v>72167</v>
      </c>
      <c r="BT63" s="48">
        <v>0</v>
      </c>
      <c r="BU63" s="48">
        <v>0</v>
      </c>
      <c r="BV63" s="48">
        <v>0</v>
      </c>
      <c r="BW63" s="48">
        <v>0</v>
      </c>
      <c r="BX63" s="48">
        <v>20181</v>
      </c>
      <c r="BY63" s="48">
        <v>1</v>
      </c>
      <c r="BZ63" s="48">
        <v>0</v>
      </c>
      <c r="CA63" s="453">
        <v>0</v>
      </c>
      <c r="CB63" s="454"/>
      <c r="CC63" s="48">
        <v>0</v>
      </c>
      <c r="CD63" s="48">
        <v>20181</v>
      </c>
      <c r="CE63" s="48">
        <v>50000</v>
      </c>
      <c r="CF63" s="48">
        <v>570358</v>
      </c>
      <c r="CG63" s="48">
        <v>0</v>
      </c>
      <c r="CH63" s="48">
        <v>0</v>
      </c>
      <c r="CI63" s="48">
        <v>0</v>
      </c>
      <c r="CJ63" s="49">
        <v>0</v>
      </c>
      <c r="CK63" s="50">
        <f t="shared" si="0"/>
        <v>620358</v>
      </c>
      <c r="CL63" s="50">
        <f t="shared" si="1"/>
        <v>0</v>
      </c>
    </row>
    <row r="64" spans="1:90" ht="25.5">
      <c r="A64" s="48">
        <v>302</v>
      </c>
      <c r="B64" s="48">
        <v>3504</v>
      </c>
      <c r="C64" s="48" t="s">
        <v>277</v>
      </c>
      <c r="D64" s="48" t="s">
        <v>441</v>
      </c>
      <c r="E64" s="48"/>
      <c r="F64" s="48" t="s">
        <v>435</v>
      </c>
      <c r="G64" s="48">
        <v>0</v>
      </c>
      <c r="H64" s="48">
        <v>0</v>
      </c>
      <c r="I64" s="48" t="s">
        <v>436</v>
      </c>
      <c r="J64" s="48" t="s">
        <v>437</v>
      </c>
      <c r="K64" s="48" t="s">
        <v>438</v>
      </c>
      <c r="L64" s="48" t="s">
        <v>439</v>
      </c>
      <c r="M64" s="48" t="s">
        <v>438</v>
      </c>
      <c r="N64" s="48" t="s">
        <v>440</v>
      </c>
      <c r="O64" s="48" t="s">
        <v>181</v>
      </c>
      <c r="P64" s="48" t="s">
        <v>181</v>
      </c>
      <c r="Q64" s="48">
        <v>72412.039999999994</v>
      </c>
      <c r="R64" s="48">
        <v>0</v>
      </c>
      <c r="S64" s="48">
        <v>0</v>
      </c>
      <c r="T64" s="48">
        <v>2017750.72</v>
      </c>
      <c r="U64" s="48">
        <v>0</v>
      </c>
      <c r="V64" s="48">
        <v>68902.399999999994</v>
      </c>
      <c r="W64" s="48">
        <v>0</v>
      </c>
      <c r="X64" s="48">
        <v>60140</v>
      </c>
      <c r="Y64" s="48">
        <v>8500</v>
      </c>
      <c r="Z64" s="48">
        <v>1000</v>
      </c>
      <c r="AA64" s="48">
        <v>1820</v>
      </c>
      <c r="AB64" s="48">
        <v>181158.89</v>
      </c>
      <c r="AC64" s="48">
        <v>48690.63</v>
      </c>
      <c r="AD64" s="48">
        <v>3150</v>
      </c>
      <c r="AE64" s="48">
        <v>0</v>
      </c>
      <c r="AF64" s="48">
        <v>18267.79</v>
      </c>
      <c r="AG64" s="48">
        <v>39669.43</v>
      </c>
      <c r="AH64" s="48">
        <v>0</v>
      </c>
      <c r="AI64" s="48">
        <v>0</v>
      </c>
      <c r="AJ64" s="48">
        <v>0</v>
      </c>
      <c r="AK64" s="48">
        <v>0</v>
      </c>
      <c r="AL64" s="48">
        <v>0</v>
      </c>
      <c r="AM64" s="48">
        <v>19661.88</v>
      </c>
      <c r="AN64" s="48">
        <v>89268.33</v>
      </c>
      <c r="AO64" s="48">
        <v>1193401.3999999999</v>
      </c>
      <c r="AP64" s="48">
        <v>0</v>
      </c>
      <c r="AQ64" s="48">
        <v>481752.81</v>
      </c>
      <c r="AR64" s="48">
        <v>27042.14</v>
      </c>
      <c r="AS64" s="48">
        <v>146660.78</v>
      </c>
      <c r="AT64" s="48">
        <v>0</v>
      </c>
      <c r="AU64" s="48">
        <v>67532.3</v>
      </c>
      <c r="AV64" s="48">
        <v>2008.92</v>
      </c>
      <c r="AW64" s="48">
        <v>8616.5</v>
      </c>
      <c r="AX64" s="48">
        <v>11652.6</v>
      </c>
      <c r="AY64" s="48">
        <v>0</v>
      </c>
      <c r="AZ64" s="48">
        <v>16448.150000000001</v>
      </c>
      <c r="BA64" s="48">
        <v>12119.92</v>
      </c>
      <c r="BB64" s="48">
        <v>33189.629999999997</v>
      </c>
      <c r="BC64" s="48">
        <v>6836.64</v>
      </c>
      <c r="BD64" s="48">
        <v>20987.51</v>
      </c>
      <c r="BE64" s="48">
        <v>6668.4</v>
      </c>
      <c r="BF64" s="48">
        <v>13653.27</v>
      </c>
      <c r="BG64" s="48">
        <v>94122.67</v>
      </c>
      <c r="BH64" s="48">
        <v>20985.48</v>
      </c>
      <c r="BI64" s="48">
        <v>0</v>
      </c>
      <c r="BJ64" s="48">
        <v>18322.919999999998</v>
      </c>
      <c r="BK64" s="48">
        <v>15350.87</v>
      </c>
      <c r="BL64" s="48">
        <v>26977.41</v>
      </c>
      <c r="BM64" s="48">
        <v>129112.85</v>
      </c>
      <c r="BN64" s="48">
        <v>18348.02</v>
      </c>
      <c r="BO64" s="48">
        <v>59912.53</v>
      </c>
      <c r="BP64" s="48">
        <v>60496.88</v>
      </c>
      <c r="BQ64" s="48">
        <v>0</v>
      </c>
      <c r="BR64" s="48">
        <v>0</v>
      </c>
      <c r="BS64" s="48">
        <v>23381</v>
      </c>
      <c r="BT64" s="48">
        <v>0</v>
      </c>
      <c r="BU64" s="48">
        <v>0</v>
      </c>
      <c r="BV64" s="48">
        <v>0</v>
      </c>
      <c r="BW64" s="48">
        <v>23381</v>
      </c>
      <c r="BX64" s="48">
        <v>0</v>
      </c>
      <c r="BY64" s="48">
        <v>1</v>
      </c>
      <c r="BZ64" s="48">
        <v>0</v>
      </c>
      <c r="CA64" s="453">
        <v>0</v>
      </c>
      <c r="CB64" s="454"/>
      <c r="CC64" s="48">
        <v>0</v>
      </c>
      <c r="CD64" s="48">
        <v>23381.4</v>
      </c>
      <c r="CE64" s="48">
        <v>40600</v>
      </c>
      <c r="CF64" s="48">
        <v>74210</v>
      </c>
      <c r="CG64" s="48">
        <v>0</v>
      </c>
      <c r="CH64" s="48">
        <v>0</v>
      </c>
      <c r="CI64" s="48">
        <v>0</v>
      </c>
      <c r="CJ64" s="49">
        <v>0</v>
      </c>
      <c r="CK64" s="50">
        <f t="shared" si="0"/>
        <v>114810</v>
      </c>
      <c r="CL64" s="50">
        <f t="shared" si="1"/>
        <v>0</v>
      </c>
    </row>
    <row r="65" spans="1:90" ht="25.5">
      <c r="A65" s="48">
        <v>302</v>
      </c>
      <c r="B65" s="48">
        <v>3506</v>
      </c>
      <c r="C65" s="48" t="s">
        <v>463</v>
      </c>
      <c r="D65" s="48" t="s">
        <v>441</v>
      </c>
      <c r="E65" s="48"/>
      <c r="F65" s="48" t="s">
        <v>435</v>
      </c>
      <c r="G65" s="48">
        <v>0</v>
      </c>
      <c r="H65" s="48">
        <v>0</v>
      </c>
      <c r="I65" s="48" t="s">
        <v>436</v>
      </c>
      <c r="J65" s="48" t="s">
        <v>437</v>
      </c>
      <c r="K65" s="48" t="s">
        <v>438</v>
      </c>
      <c r="L65" s="48" t="s">
        <v>439</v>
      </c>
      <c r="M65" s="48" t="s">
        <v>438</v>
      </c>
      <c r="N65" s="48" t="s">
        <v>440</v>
      </c>
      <c r="O65" s="48" t="s">
        <v>181</v>
      </c>
      <c r="P65" s="48" t="s">
        <v>181</v>
      </c>
      <c r="Q65" s="48">
        <v>198417.17</v>
      </c>
      <c r="R65" s="48">
        <v>0</v>
      </c>
      <c r="S65" s="48">
        <v>0</v>
      </c>
      <c r="T65" s="48">
        <v>1285154.52</v>
      </c>
      <c r="U65" s="48">
        <v>0</v>
      </c>
      <c r="V65" s="48">
        <v>90608.07</v>
      </c>
      <c r="W65" s="48">
        <v>0</v>
      </c>
      <c r="X65" s="48">
        <v>23519.97</v>
      </c>
      <c r="Y65" s="48">
        <v>0</v>
      </c>
      <c r="Z65" s="48">
        <v>2006.02</v>
      </c>
      <c r="AA65" s="48">
        <v>21484.25</v>
      </c>
      <c r="AB65" s="48">
        <v>11297.82</v>
      </c>
      <c r="AC65" s="48">
        <v>20913.48</v>
      </c>
      <c r="AD65" s="48">
        <v>0</v>
      </c>
      <c r="AE65" s="48">
        <v>0</v>
      </c>
      <c r="AF65" s="48">
        <v>6003</v>
      </c>
      <c r="AG65" s="48">
        <v>15750.24</v>
      </c>
      <c r="AH65" s="48">
        <v>0</v>
      </c>
      <c r="AI65" s="48">
        <v>0</v>
      </c>
      <c r="AJ65" s="48">
        <v>0</v>
      </c>
      <c r="AK65" s="48">
        <v>0</v>
      </c>
      <c r="AL65" s="48">
        <v>0</v>
      </c>
      <c r="AM65" s="48">
        <v>12883.12</v>
      </c>
      <c r="AN65" s="48">
        <v>61730.33</v>
      </c>
      <c r="AO65" s="48">
        <v>745444.9</v>
      </c>
      <c r="AP65" s="48">
        <v>0</v>
      </c>
      <c r="AQ65" s="48">
        <v>352083.82</v>
      </c>
      <c r="AR65" s="48">
        <v>73204.240000000005</v>
      </c>
      <c r="AS65" s="48">
        <v>78778.62</v>
      </c>
      <c r="AT65" s="48">
        <v>0</v>
      </c>
      <c r="AU65" s="48">
        <v>0</v>
      </c>
      <c r="AV65" s="48">
        <v>2291.9899999999998</v>
      </c>
      <c r="AW65" s="48">
        <v>7522.07</v>
      </c>
      <c r="AX65" s="48">
        <v>465.76</v>
      </c>
      <c r="AY65" s="48">
        <v>0</v>
      </c>
      <c r="AZ65" s="48">
        <v>40248.129999999997</v>
      </c>
      <c r="BA65" s="48">
        <v>5018.75</v>
      </c>
      <c r="BB65" s="48">
        <v>5619.08</v>
      </c>
      <c r="BC65" s="48">
        <v>1750.05</v>
      </c>
      <c r="BD65" s="48">
        <v>17115.84</v>
      </c>
      <c r="BE65" s="48">
        <v>3628.2</v>
      </c>
      <c r="BF65" s="48">
        <v>8457.5499999999993</v>
      </c>
      <c r="BG65" s="48">
        <v>23883.09</v>
      </c>
      <c r="BH65" s="48">
        <v>13481.65</v>
      </c>
      <c r="BI65" s="48">
        <v>0</v>
      </c>
      <c r="BJ65" s="48">
        <v>11740.21</v>
      </c>
      <c r="BK65" s="48">
        <v>14970.02</v>
      </c>
      <c r="BL65" s="48">
        <v>11604.1</v>
      </c>
      <c r="BM65" s="48">
        <v>61601.16</v>
      </c>
      <c r="BN65" s="48">
        <v>21398</v>
      </c>
      <c r="BO65" s="48">
        <v>59298.32</v>
      </c>
      <c r="BP65" s="48">
        <v>47782</v>
      </c>
      <c r="BQ65" s="48">
        <v>0</v>
      </c>
      <c r="BR65" s="48">
        <v>0</v>
      </c>
      <c r="BS65" s="48">
        <v>10780</v>
      </c>
      <c r="BT65" s="48">
        <v>0</v>
      </c>
      <c r="BU65" s="48">
        <v>0</v>
      </c>
      <c r="BV65" s="48">
        <v>0</v>
      </c>
      <c r="BW65" s="48">
        <v>18309.95</v>
      </c>
      <c r="BX65" s="48">
        <v>10780</v>
      </c>
      <c r="BY65" s="48">
        <v>1</v>
      </c>
      <c r="BZ65" s="48">
        <v>0</v>
      </c>
      <c r="CA65" s="453">
        <v>0</v>
      </c>
      <c r="CB65" s="454"/>
      <c r="CC65" s="48">
        <v>0</v>
      </c>
      <c r="CD65" s="48">
        <v>29089.95</v>
      </c>
      <c r="CE65" s="48">
        <v>47775</v>
      </c>
      <c r="CF65" s="48">
        <v>83825</v>
      </c>
      <c r="CG65" s="48">
        <v>0</v>
      </c>
      <c r="CH65" s="48">
        <v>0</v>
      </c>
      <c r="CI65" s="48">
        <v>0</v>
      </c>
      <c r="CJ65" s="49">
        <v>0</v>
      </c>
      <c r="CK65" s="50">
        <f t="shared" si="0"/>
        <v>131600</v>
      </c>
      <c r="CL65" s="50">
        <f t="shared" si="1"/>
        <v>0</v>
      </c>
    </row>
    <row r="66" spans="1:90" ht="25.5">
      <c r="A66" s="48">
        <v>302</v>
      </c>
      <c r="B66" s="48">
        <v>3507</v>
      </c>
      <c r="C66" s="48" t="s">
        <v>464</v>
      </c>
      <c r="D66" s="48" t="s">
        <v>441</v>
      </c>
      <c r="E66" s="48"/>
      <c r="F66" s="48" t="s">
        <v>435</v>
      </c>
      <c r="G66" s="48">
        <v>0</v>
      </c>
      <c r="H66" s="48">
        <v>1</v>
      </c>
      <c r="I66" s="48" t="s">
        <v>436</v>
      </c>
      <c r="J66" s="48" t="s">
        <v>437</v>
      </c>
      <c r="K66" s="48" t="s">
        <v>438</v>
      </c>
      <c r="L66" s="48" t="s">
        <v>439</v>
      </c>
      <c r="M66" s="48" t="s">
        <v>438</v>
      </c>
      <c r="N66" s="48" t="s">
        <v>440</v>
      </c>
      <c r="O66" s="48" t="s">
        <v>181</v>
      </c>
      <c r="P66" s="48" t="s">
        <v>181</v>
      </c>
      <c r="Q66" s="48">
        <v>37217.629999999997</v>
      </c>
      <c r="R66" s="48">
        <v>0</v>
      </c>
      <c r="S66" s="48">
        <v>0</v>
      </c>
      <c r="T66" s="48">
        <v>830684</v>
      </c>
      <c r="U66" s="48">
        <v>0</v>
      </c>
      <c r="V66" s="48">
        <v>74976</v>
      </c>
      <c r="W66" s="48">
        <v>0</v>
      </c>
      <c r="X66" s="48">
        <v>33745</v>
      </c>
      <c r="Y66" s="48">
        <v>0</v>
      </c>
      <c r="Z66" s="48">
        <v>0</v>
      </c>
      <c r="AA66" s="48">
        <v>370</v>
      </c>
      <c r="AB66" s="48">
        <v>6509</v>
      </c>
      <c r="AC66" s="48">
        <v>13218</v>
      </c>
      <c r="AD66" s="48">
        <v>148</v>
      </c>
      <c r="AE66" s="48">
        <v>0</v>
      </c>
      <c r="AF66" s="48">
        <v>15053</v>
      </c>
      <c r="AG66" s="48">
        <v>10452</v>
      </c>
      <c r="AH66" s="48">
        <v>0</v>
      </c>
      <c r="AI66" s="48">
        <v>0</v>
      </c>
      <c r="AJ66" s="48">
        <v>0</v>
      </c>
      <c r="AK66" s="48">
        <v>0</v>
      </c>
      <c r="AL66" s="48">
        <v>0</v>
      </c>
      <c r="AM66" s="48">
        <v>0</v>
      </c>
      <c r="AN66" s="48">
        <v>49312</v>
      </c>
      <c r="AO66" s="48">
        <v>580771</v>
      </c>
      <c r="AP66" s="48">
        <v>0</v>
      </c>
      <c r="AQ66" s="48">
        <v>135946</v>
      </c>
      <c r="AR66" s="48">
        <v>32254</v>
      </c>
      <c r="AS66" s="48">
        <v>43207</v>
      </c>
      <c r="AT66" s="48">
        <v>0</v>
      </c>
      <c r="AU66" s="48">
        <v>18472</v>
      </c>
      <c r="AV66" s="48">
        <v>1428</v>
      </c>
      <c r="AW66" s="48">
        <v>3552</v>
      </c>
      <c r="AX66" s="48">
        <v>5634</v>
      </c>
      <c r="AY66" s="48">
        <v>0</v>
      </c>
      <c r="AZ66" s="48">
        <v>15030</v>
      </c>
      <c r="BA66" s="48">
        <v>436</v>
      </c>
      <c r="BB66" s="48">
        <v>27242</v>
      </c>
      <c r="BC66" s="48">
        <v>2810</v>
      </c>
      <c r="BD66" s="48">
        <v>14970</v>
      </c>
      <c r="BE66" s="48">
        <v>3804</v>
      </c>
      <c r="BF66" s="48">
        <v>6229</v>
      </c>
      <c r="BG66" s="48">
        <v>38054</v>
      </c>
      <c r="BH66" s="48">
        <v>14665</v>
      </c>
      <c r="BI66" s="48">
        <v>0</v>
      </c>
      <c r="BJ66" s="48">
        <v>14491</v>
      </c>
      <c r="BK66" s="48">
        <v>7173</v>
      </c>
      <c r="BL66" s="48">
        <v>3698</v>
      </c>
      <c r="BM66" s="48">
        <v>37121</v>
      </c>
      <c r="BN66" s="48">
        <v>48513</v>
      </c>
      <c r="BO66" s="48">
        <v>112589</v>
      </c>
      <c r="BP66" s="48">
        <v>40502</v>
      </c>
      <c r="BQ66" s="48">
        <v>0</v>
      </c>
      <c r="BR66" s="48">
        <v>0</v>
      </c>
      <c r="BS66" s="48">
        <v>0</v>
      </c>
      <c r="BT66" s="48">
        <v>0</v>
      </c>
      <c r="BU66" s="48">
        <v>0</v>
      </c>
      <c r="BV66" s="48">
        <v>0</v>
      </c>
      <c r="BW66" s="48">
        <v>0</v>
      </c>
      <c r="BX66" s="48">
        <v>0</v>
      </c>
      <c r="BY66" s="48">
        <v>1</v>
      </c>
      <c r="BZ66" s="48">
        <v>0</v>
      </c>
      <c r="CA66" s="453">
        <v>0</v>
      </c>
      <c r="CB66" s="454"/>
      <c r="CC66" s="48">
        <v>0</v>
      </c>
      <c r="CD66" s="48">
        <v>0</v>
      </c>
      <c r="CE66" s="48">
        <v>0</v>
      </c>
      <c r="CF66" s="48">
        <v>-136906</v>
      </c>
      <c r="CG66" s="48">
        <v>0</v>
      </c>
      <c r="CH66" s="48">
        <v>0</v>
      </c>
      <c r="CI66" s="48">
        <v>0</v>
      </c>
      <c r="CJ66" s="49">
        <v>0</v>
      </c>
      <c r="CK66" s="50">
        <f t="shared" si="0"/>
        <v>-136906</v>
      </c>
      <c r="CL66" s="50">
        <f t="shared" si="1"/>
        <v>0</v>
      </c>
    </row>
    <row r="67" spans="1:90" ht="25.5">
      <c r="A67" s="48">
        <v>302</v>
      </c>
      <c r="B67" s="48">
        <v>3509</v>
      </c>
      <c r="C67" s="48" t="s">
        <v>465</v>
      </c>
      <c r="D67" s="48" t="s">
        <v>441</v>
      </c>
      <c r="E67" s="48"/>
      <c r="F67" s="48" t="s">
        <v>435</v>
      </c>
      <c r="G67" s="48">
        <v>0</v>
      </c>
      <c r="H67" s="48">
        <v>1</v>
      </c>
      <c r="I67" s="48" t="s">
        <v>436</v>
      </c>
      <c r="J67" s="48" t="s">
        <v>437</v>
      </c>
      <c r="K67" s="48" t="s">
        <v>438</v>
      </c>
      <c r="L67" s="48" t="s">
        <v>439</v>
      </c>
      <c r="M67" s="48" t="s">
        <v>438</v>
      </c>
      <c r="N67" s="48" t="s">
        <v>440</v>
      </c>
      <c r="O67" s="48" t="s">
        <v>181</v>
      </c>
      <c r="P67" s="48" t="s">
        <v>181</v>
      </c>
      <c r="Q67" s="48">
        <v>-254468.62</v>
      </c>
      <c r="R67" s="48">
        <v>0</v>
      </c>
      <c r="S67" s="48">
        <v>0</v>
      </c>
      <c r="T67" s="48">
        <v>2305083.38</v>
      </c>
      <c r="U67" s="48">
        <v>0</v>
      </c>
      <c r="V67" s="48">
        <v>102435.7</v>
      </c>
      <c r="W67" s="48">
        <v>0</v>
      </c>
      <c r="X67" s="48">
        <v>123739.95</v>
      </c>
      <c r="Y67" s="48">
        <v>0</v>
      </c>
      <c r="Z67" s="48">
        <v>1.06</v>
      </c>
      <c r="AA67" s="48">
        <v>0</v>
      </c>
      <c r="AB67" s="48">
        <v>47556.24</v>
      </c>
      <c r="AC67" s="48">
        <v>49525.43</v>
      </c>
      <c r="AD67" s="48">
        <v>7560</v>
      </c>
      <c r="AE67" s="48">
        <v>0</v>
      </c>
      <c r="AF67" s="48">
        <v>9007.59</v>
      </c>
      <c r="AG67" s="48">
        <v>3415.04</v>
      </c>
      <c r="AH67" s="48">
        <v>0</v>
      </c>
      <c r="AI67" s="48">
        <v>0</v>
      </c>
      <c r="AJ67" s="48">
        <v>0</v>
      </c>
      <c r="AK67" s="48">
        <v>0</v>
      </c>
      <c r="AL67" s="48">
        <v>0</v>
      </c>
      <c r="AM67" s="48">
        <v>0</v>
      </c>
      <c r="AN67" s="48">
        <v>101462.5</v>
      </c>
      <c r="AO67" s="48">
        <v>1275967.72</v>
      </c>
      <c r="AP67" s="48">
        <v>0</v>
      </c>
      <c r="AQ67" s="48">
        <v>492938.95</v>
      </c>
      <c r="AR67" s="48">
        <v>125795.45</v>
      </c>
      <c r="AS67" s="48">
        <v>125649.31</v>
      </c>
      <c r="AT67" s="48">
        <v>0</v>
      </c>
      <c r="AU67" s="48">
        <v>87312.56</v>
      </c>
      <c r="AV67" s="48">
        <v>6264.27</v>
      </c>
      <c r="AW67" s="48">
        <v>502.5</v>
      </c>
      <c r="AX67" s="48">
        <v>10911.1</v>
      </c>
      <c r="AY67" s="48">
        <v>0</v>
      </c>
      <c r="AZ67" s="48">
        <v>30068.13</v>
      </c>
      <c r="BA67" s="48">
        <v>0</v>
      </c>
      <c r="BB67" s="48">
        <v>2226.56</v>
      </c>
      <c r="BC67" s="48">
        <v>7136.42</v>
      </c>
      <c r="BD67" s="48">
        <v>59822</v>
      </c>
      <c r="BE67" s="48">
        <v>12781.19</v>
      </c>
      <c r="BF67" s="48">
        <v>16396.57</v>
      </c>
      <c r="BG67" s="48">
        <v>61427.5</v>
      </c>
      <c r="BH67" s="48">
        <v>20070.759999999998</v>
      </c>
      <c r="BI67" s="48">
        <v>0</v>
      </c>
      <c r="BJ67" s="48">
        <v>19536.09</v>
      </c>
      <c r="BK67" s="48">
        <v>17269.599999999999</v>
      </c>
      <c r="BL67" s="48">
        <v>14765.19</v>
      </c>
      <c r="BM67" s="48">
        <v>135369.32999999999</v>
      </c>
      <c r="BN67" s="48">
        <v>120869</v>
      </c>
      <c r="BO67" s="48">
        <v>179716.42</v>
      </c>
      <c r="BP67" s="48">
        <v>36445.040000000001</v>
      </c>
      <c r="BQ67" s="48">
        <v>0</v>
      </c>
      <c r="BR67" s="48">
        <v>0</v>
      </c>
      <c r="BS67" s="48">
        <v>0</v>
      </c>
      <c r="BT67" s="48">
        <v>0</v>
      </c>
      <c r="BU67" s="48">
        <v>0</v>
      </c>
      <c r="BV67" s="48">
        <v>0</v>
      </c>
      <c r="BW67" s="48">
        <v>0</v>
      </c>
      <c r="BX67" s="48">
        <v>0</v>
      </c>
      <c r="BY67" s="48">
        <v>1</v>
      </c>
      <c r="BZ67" s="48">
        <v>0</v>
      </c>
      <c r="CA67" s="453">
        <v>0</v>
      </c>
      <c r="CB67" s="454"/>
      <c r="CC67" s="48">
        <v>0</v>
      </c>
      <c r="CD67" s="48">
        <v>0</v>
      </c>
      <c r="CE67" s="48">
        <v>0</v>
      </c>
      <c r="CF67" s="48">
        <v>-363924</v>
      </c>
      <c r="CG67" s="48">
        <v>0</v>
      </c>
      <c r="CH67" s="48">
        <v>0</v>
      </c>
      <c r="CI67" s="48">
        <v>0</v>
      </c>
      <c r="CJ67" s="49">
        <v>0</v>
      </c>
      <c r="CK67" s="50">
        <f t="shared" si="0"/>
        <v>-363924</v>
      </c>
      <c r="CL67" s="50">
        <f t="shared" si="1"/>
        <v>0</v>
      </c>
    </row>
    <row r="68" spans="1:90" ht="25.5">
      <c r="A68" s="48">
        <v>302</v>
      </c>
      <c r="B68" s="48">
        <v>3510</v>
      </c>
      <c r="C68" s="48" t="s">
        <v>86</v>
      </c>
      <c r="D68" s="48" t="s">
        <v>441</v>
      </c>
      <c r="E68" s="48"/>
      <c r="F68" s="48" t="s">
        <v>435</v>
      </c>
      <c r="G68" s="48">
        <v>0</v>
      </c>
      <c r="H68" s="48">
        <v>0</v>
      </c>
      <c r="I68" s="48" t="s">
        <v>436</v>
      </c>
      <c r="J68" s="48" t="s">
        <v>437</v>
      </c>
      <c r="K68" s="48" t="s">
        <v>438</v>
      </c>
      <c r="L68" s="48" t="s">
        <v>439</v>
      </c>
      <c r="M68" s="48" t="s">
        <v>438</v>
      </c>
      <c r="N68" s="48" t="s">
        <v>440</v>
      </c>
      <c r="O68" s="48" t="s">
        <v>181</v>
      </c>
      <c r="P68" s="48" t="s">
        <v>181</v>
      </c>
      <c r="Q68" s="48">
        <v>285064.61</v>
      </c>
      <c r="R68" s="48">
        <v>0</v>
      </c>
      <c r="S68" s="48">
        <v>0</v>
      </c>
      <c r="T68" s="48">
        <v>1693164</v>
      </c>
      <c r="U68" s="48">
        <v>0</v>
      </c>
      <c r="V68" s="48">
        <v>87868</v>
      </c>
      <c r="W68" s="48">
        <v>0</v>
      </c>
      <c r="X68" s="48">
        <v>58835</v>
      </c>
      <c r="Y68" s="48">
        <v>2955</v>
      </c>
      <c r="Z68" s="48">
        <v>15901</v>
      </c>
      <c r="AA68" s="48">
        <v>1580</v>
      </c>
      <c r="AB68" s="48">
        <v>34329</v>
      </c>
      <c r="AC68" s="48">
        <v>47274</v>
      </c>
      <c r="AD68" s="48">
        <v>0</v>
      </c>
      <c r="AE68" s="48">
        <v>0</v>
      </c>
      <c r="AF68" s="48">
        <v>30983</v>
      </c>
      <c r="AG68" s="48">
        <v>63269</v>
      </c>
      <c r="AH68" s="48">
        <v>0</v>
      </c>
      <c r="AI68" s="48">
        <v>0</v>
      </c>
      <c r="AJ68" s="48">
        <v>0</v>
      </c>
      <c r="AK68" s="48">
        <v>0</v>
      </c>
      <c r="AL68" s="48">
        <v>0</v>
      </c>
      <c r="AM68" s="48">
        <v>0</v>
      </c>
      <c r="AN68" s="48">
        <v>89775</v>
      </c>
      <c r="AO68" s="48">
        <v>1102947</v>
      </c>
      <c r="AP68" s="48">
        <v>0</v>
      </c>
      <c r="AQ68" s="48">
        <v>276790</v>
      </c>
      <c r="AR68" s="48">
        <v>39063</v>
      </c>
      <c r="AS68" s="48">
        <v>93076</v>
      </c>
      <c r="AT68" s="48">
        <v>0</v>
      </c>
      <c r="AU68" s="48">
        <v>8829</v>
      </c>
      <c r="AV68" s="48">
        <v>10311</v>
      </c>
      <c r="AW68" s="48">
        <v>3058</v>
      </c>
      <c r="AX68" s="48">
        <v>649</v>
      </c>
      <c r="AY68" s="48">
        <v>0</v>
      </c>
      <c r="AZ68" s="48">
        <v>15388</v>
      </c>
      <c r="BA68" s="48">
        <v>4697</v>
      </c>
      <c r="BB68" s="48">
        <v>29770</v>
      </c>
      <c r="BC68" s="48">
        <v>6208</v>
      </c>
      <c r="BD68" s="48">
        <v>24790</v>
      </c>
      <c r="BE68" s="48">
        <v>9499</v>
      </c>
      <c r="BF68" s="48">
        <v>8310</v>
      </c>
      <c r="BG68" s="48">
        <v>79035</v>
      </c>
      <c r="BH68" s="48">
        <v>14696</v>
      </c>
      <c r="BI68" s="48">
        <v>0</v>
      </c>
      <c r="BJ68" s="48">
        <v>14074</v>
      </c>
      <c r="BK68" s="48">
        <v>14342</v>
      </c>
      <c r="BL68" s="48">
        <v>2096</v>
      </c>
      <c r="BM68" s="48">
        <v>111733</v>
      </c>
      <c r="BN68" s="48">
        <v>6860</v>
      </c>
      <c r="BO68" s="48">
        <v>210434</v>
      </c>
      <c r="BP68" s="48">
        <v>35324</v>
      </c>
      <c r="BQ68" s="48">
        <v>0</v>
      </c>
      <c r="BR68" s="48">
        <v>0</v>
      </c>
      <c r="BS68" s="48">
        <v>41350</v>
      </c>
      <c r="BT68" s="48">
        <v>0</v>
      </c>
      <c r="BU68" s="48">
        <v>0</v>
      </c>
      <c r="BV68" s="48">
        <v>0</v>
      </c>
      <c r="BW68" s="48">
        <v>0</v>
      </c>
      <c r="BX68" s="48">
        <v>41350</v>
      </c>
      <c r="BY68" s="48">
        <v>1</v>
      </c>
      <c r="BZ68" s="48">
        <v>0</v>
      </c>
      <c r="CA68" s="453">
        <v>0</v>
      </c>
      <c r="CB68" s="454"/>
      <c r="CC68" s="48">
        <v>0</v>
      </c>
      <c r="CD68" s="48">
        <v>41350</v>
      </c>
      <c r="CE68" s="48">
        <v>247669</v>
      </c>
      <c r="CF68" s="48">
        <v>0</v>
      </c>
      <c r="CG68" s="48">
        <v>0</v>
      </c>
      <c r="CH68" s="48">
        <v>0</v>
      </c>
      <c r="CI68" s="48">
        <v>0</v>
      </c>
      <c r="CJ68" s="49">
        <v>0</v>
      </c>
      <c r="CK68" s="50">
        <f t="shared" si="0"/>
        <v>247669</v>
      </c>
      <c r="CL68" s="50">
        <f t="shared" si="1"/>
        <v>0</v>
      </c>
    </row>
    <row r="69" spans="1:90" ht="25.5">
      <c r="A69" s="48">
        <v>302</v>
      </c>
      <c r="B69" s="48">
        <v>3511</v>
      </c>
      <c r="C69" s="48" t="s">
        <v>466</v>
      </c>
      <c r="D69" s="48" t="s">
        <v>441</v>
      </c>
      <c r="E69" s="48"/>
      <c r="F69" s="48" t="s">
        <v>435</v>
      </c>
      <c r="G69" s="48">
        <v>0</v>
      </c>
      <c r="H69" s="48">
        <v>0</v>
      </c>
      <c r="I69" s="48" t="s">
        <v>436</v>
      </c>
      <c r="J69" s="48" t="s">
        <v>437</v>
      </c>
      <c r="K69" s="48" t="s">
        <v>438</v>
      </c>
      <c r="L69" s="48" t="s">
        <v>439</v>
      </c>
      <c r="M69" s="48" t="s">
        <v>438</v>
      </c>
      <c r="N69" s="48" t="s">
        <v>440</v>
      </c>
      <c r="O69" s="48" t="s">
        <v>181</v>
      </c>
      <c r="P69" s="48" t="s">
        <v>181</v>
      </c>
      <c r="Q69" s="48">
        <v>203966.84</v>
      </c>
      <c r="R69" s="48">
        <v>0</v>
      </c>
      <c r="S69" s="48">
        <v>1</v>
      </c>
      <c r="T69" s="48">
        <v>2225972.39</v>
      </c>
      <c r="U69" s="48">
        <v>0</v>
      </c>
      <c r="V69" s="48">
        <v>27825.09</v>
      </c>
      <c r="W69" s="48">
        <v>0</v>
      </c>
      <c r="X69" s="48">
        <v>148914.85</v>
      </c>
      <c r="Y69" s="48">
        <v>0</v>
      </c>
      <c r="Z69" s="48">
        <v>16212.8</v>
      </c>
      <c r="AA69" s="48">
        <v>0</v>
      </c>
      <c r="AB69" s="48">
        <v>45703.76</v>
      </c>
      <c r="AC69" s="48">
        <v>35592.31</v>
      </c>
      <c r="AD69" s="48">
        <v>0</v>
      </c>
      <c r="AE69" s="48">
        <v>1900</v>
      </c>
      <c r="AF69" s="48">
        <v>40331.85</v>
      </c>
      <c r="AG69" s="48">
        <v>6441.12</v>
      </c>
      <c r="AH69" s="48">
        <v>0</v>
      </c>
      <c r="AI69" s="48">
        <v>0</v>
      </c>
      <c r="AJ69" s="48">
        <v>0</v>
      </c>
      <c r="AK69" s="48">
        <v>0</v>
      </c>
      <c r="AL69" s="48">
        <v>0</v>
      </c>
      <c r="AM69" s="48">
        <v>28226.880000000001</v>
      </c>
      <c r="AN69" s="48">
        <v>66725.67</v>
      </c>
      <c r="AO69" s="48">
        <v>1103654.4099999999</v>
      </c>
      <c r="AP69" s="48">
        <v>0</v>
      </c>
      <c r="AQ69" s="48">
        <v>510122.64</v>
      </c>
      <c r="AR69" s="48">
        <v>41267.629999999997</v>
      </c>
      <c r="AS69" s="48">
        <v>155337.68</v>
      </c>
      <c r="AT69" s="48">
        <v>0</v>
      </c>
      <c r="AU69" s="48">
        <v>11671.73</v>
      </c>
      <c r="AV69" s="48">
        <v>1756.47</v>
      </c>
      <c r="AW69" s="48">
        <v>11143.61</v>
      </c>
      <c r="AX69" s="48">
        <v>13199.96</v>
      </c>
      <c r="AY69" s="48">
        <v>0</v>
      </c>
      <c r="AZ69" s="48">
        <v>9296.17</v>
      </c>
      <c r="BA69" s="48">
        <v>1281.1300000000001</v>
      </c>
      <c r="BB69" s="48">
        <v>48524.21</v>
      </c>
      <c r="BC69" s="48">
        <v>4005.4</v>
      </c>
      <c r="BD69" s="48">
        <v>30779.07</v>
      </c>
      <c r="BE69" s="48">
        <v>4214</v>
      </c>
      <c r="BF69" s="48">
        <v>9874.4699999999993</v>
      </c>
      <c r="BG69" s="48">
        <v>76991.78</v>
      </c>
      <c r="BH69" s="48">
        <v>25271.56</v>
      </c>
      <c r="BI69" s="48">
        <v>0</v>
      </c>
      <c r="BJ69" s="48">
        <v>19343.509999999998</v>
      </c>
      <c r="BK69" s="48">
        <v>20226.59</v>
      </c>
      <c r="BL69" s="48">
        <v>35067.980000000003</v>
      </c>
      <c r="BM69" s="48">
        <v>121137.07</v>
      </c>
      <c r="BN69" s="48">
        <v>136219.22</v>
      </c>
      <c r="BO69" s="48">
        <v>155748.4</v>
      </c>
      <c r="BP69" s="48">
        <v>30527.52</v>
      </c>
      <c r="BQ69" s="48">
        <v>27</v>
      </c>
      <c r="BR69" s="48">
        <v>0</v>
      </c>
      <c r="BS69" s="48">
        <v>0</v>
      </c>
      <c r="BT69" s="48">
        <v>0</v>
      </c>
      <c r="BU69" s="48">
        <v>0</v>
      </c>
      <c r="BV69" s="48">
        <v>0</v>
      </c>
      <c r="BW69" s="48">
        <v>0</v>
      </c>
      <c r="BX69" s="48">
        <v>0</v>
      </c>
      <c r="BY69" s="48">
        <v>1</v>
      </c>
      <c r="BZ69" s="48">
        <v>0</v>
      </c>
      <c r="CA69" s="453">
        <v>0</v>
      </c>
      <c r="CB69" s="454"/>
      <c r="CC69" s="48">
        <v>0</v>
      </c>
      <c r="CD69" s="48">
        <v>0</v>
      </c>
      <c r="CE69" s="48">
        <v>19744</v>
      </c>
      <c r="CF69" s="48">
        <v>251380</v>
      </c>
      <c r="CG69" s="48">
        <v>0</v>
      </c>
      <c r="CH69" s="48">
        <v>0</v>
      </c>
      <c r="CI69" s="48">
        <v>0</v>
      </c>
      <c r="CJ69" s="49">
        <v>0</v>
      </c>
      <c r="CK69" s="50">
        <f t="shared" ref="CK69:CK90" si="2">CE69+CF69+CI69</f>
        <v>271124</v>
      </c>
      <c r="CL69" s="50">
        <f t="shared" ref="CL69:CL90" si="3">CG69+CH69</f>
        <v>0</v>
      </c>
    </row>
    <row r="70" spans="1:90" ht="25.5">
      <c r="A70" s="48">
        <v>302</v>
      </c>
      <c r="B70" s="48">
        <v>3512</v>
      </c>
      <c r="C70" s="48" t="s">
        <v>85</v>
      </c>
      <c r="D70" s="48" t="s">
        <v>441</v>
      </c>
      <c r="E70" s="48"/>
      <c r="F70" s="48" t="s">
        <v>435</v>
      </c>
      <c r="G70" s="48">
        <v>0</v>
      </c>
      <c r="H70" s="48">
        <v>0</v>
      </c>
      <c r="I70" s="48" t="s">
        <v>436</v>
      </c>
      <c r="J70" s="48" t="s">
        <v>437</v>
      </c>
      <c r="K70" s="48" t="s">
        <v>438</v>
      </c>
      <c r="L70" s="48" t="s">
        <v>439</v>
      </c>
      <c r="M70" s="48" t="s">
        <v>438</v>
      </c>
      <c r="N70" s="48" t="s">
        <v>440</v>
      </c>
      <c r="O70" s="48" t="s">
        <v>181</v>
      </c>
      <c r="P70" s="48" t="s">
        <v>181</v>
      </c>
      <c r="Q70" s="48">
        <v>400324.92</v>
      </c>
      <c r="R70" s="48">
        <v>0</v>
      </c>
      <c r="S70" s="48">
        <v>0</v>
      </c>
      <c r="T70" s="48">
        <v>1615271.15</v>
      </c>
      <c r="U70" s="48">
        <v>0</v>
      </c>
      <c r="V70" s="48">
        <v>40749.53</v>
      </c>
      <c r="W70" s="48">
        <v>0</v>
      </c>
      <c r="X70" s="48">
        <v>13450.02</v>
      </c>
      <c r="Y70" s="48">
        <v>0</v>
      </c>
      <c r="Z70" s="48">
        <v>4764.6400000000003</v>
      </c>
      <c r="AA70" s="48">
        <v>0</v>
      </c>
      <c r="AB70" s="48">
        <v>53636.28</v>
      </c>
      <c r="AC70" s="48">
        <v>144553.92000000001</v>
      </c>
      <c r="AD70" s="48">
        <v>11166</v>
      </c>
      <c r="AE70" s="48">
        <v>0</v>
      </c>
      <c r="AF70" s="48">
        <v>23676.44</v>
      </c>
      <c r="AG70" s="48">
        <v>346383.64</v>
      </c>
      <c r="AH70" s="48">
        <v>0</v>
      </c>
      <c r="AI70" s="48">
        <v>0</v>
      </c>
      <c r="AJ70" s="48">
        <v>0</v>
      </c>
      <c r="AK70" s="48">
        <v>0</v>
      </c>
      <c r="AL70" s="48">
        <v>0</v>
      </c>
      <c r="AM70" s="48">
        <v>0</v>
      </c>
      <c r="AN70" s="48">
        <v>98778.25</v>
      </c>
      <c r="AO70" s="48">
        <v>1120364.6000000001</v>
      </c>
      <c r="AP70" s="48">
        <v>17168.28</v>
      </c>
      <c r="AQ70" s="48">
        <v>363516.4</v>
      </c>
      <c r="AR70" s="48">
        <v>65191.46</v>
      </c>
      <c r="AS70" s="48">
        <v>117474.79</v>
      </c>
      <c r="AT70" s="48">
        <v>0</v>
      </c>
      <c r="AU70" s="48">
        <v>71268.03</v>
      </c>
      <c r="AV70" s="48">
        <v>7400.42</v>
      </c>
      <c r="AW70" s="48">
        <v>3415.6</v>
      </c>
      <c r="AX70" s="48">
        <v>18926.59</v>
      </c>
      <c r="AY70" s="48">
        <v>0</v>
      </c>
      <c r="AZ70" s="48">
        <v>29015.31</v>
      </c>
      <c r="BA70" s="48">
        <v>0</v>
      </c>
      <c r="BB70" s="48">
        <v>49730.87</v>
      </c>
      <c r="BC70" s="48">
        <v>2744.46</v>
      </c>
      <c r="BD70" s="48">
        <v>35538.99</v>
      </c>
      <c r="BE70" s="48">
        <v>13300</v>
      </c>
      <c r="BF70" s="48">
        <v>9559.6200000000008</v>
      </c>
      <c r="BG70" s="48">
        <v>47558.59</v>
      </c>
      <c r="BH70" s="48">
        <v>9629.66</v>
      </c>
      <c r="BI70" s="48">
        <v>0</v>
      </c>
      <c r="BJ70" s="48">
        <v>11815.21</v>
      </c>
      <c r="BK70" s="48">
        <v>11345.49</v>
      </c>
      <c r="BL70" s="48">
        <v>11043.72</v>
      </c>
      <c r="BM70" s="48">
        <v>228283.92</v>
      </c>
      <c r="BN70" s="48">
        <v>26514.25</v>
      </c>
      <c r="BO70" s="48">
        <v>87986.240000000005</v>
      </c>
      <c r="BP70" s="48">
        <v>37569</v>
      </c>
      <c r="BQ70" s="48">
        <v>0</v>
      </c>
      <c r="BR70" s="48">
        <v>0</v>
      </c>
      <c r="BS70" s="48">
        <v>7199.6</v>
      </c>
      <c r="BT70" s="48">
        <v>0</v>
      </c>
      <c r="BU70" s="48">
        <v>0</v>
      </c>
      <c r="BV70" s="48">
        <v>0</v>
      </c>
      <c r="BW70" s="48">
        <v>0</v>
      </c>
      <c r="BX70" s="48">
        <v>7200</v>
      </c>
      <c r="BY70" s="48">
        <v>1</v>
      </c>
      <c r="BZ70" s="48">
        <v>0</v>
      </c>
      <c r="CA70" s="453">
        <v>0</v>
      </c>
      <c r="CB70" s="454"/>
      <c r="CC70" s="48">
        <v>0</v>
      </c>
      <c r="CD70" s="48">
        <v>7199.6</v>
      </c>
      <c r="CE70" s="48">
        <v>109000</v>
      </c>
      <c r="CF70" s="48">
        <v>240194</v>
      </c>
      <c r="CG70" s="48">
        <v>0</v>
      </c>
      <c r="CH70" s="48">
        <v>0</v>
      </c>
      <c r="CI70" s="48">
        <v>0</v>
      </c>
      <c r="CJ70" s="49">
        <v>0</v>
      </c>
      <c r="CK70" s="50">
        <f t="shared" si="2"/>
        <v>349194</v>
      </c>
      <c r="CL70" s="50">
        <f t="shared" si="3"/>
        <v>0</v>
      </c>
    </row>
    <row r="71" spans="1:90" ht="25.5">
      <c r="A71" s="48">
        <v>302</v>
      </c>
      <c r="B71" s="48">
        <v>3513</v>
      </c>
      <c r="C71" s="48" t="s">
        <v>73</v>
      </c>
      <c r="D71" s="48" t="s">
        <v>441</v>
      </c>
      <c r="E71" s="48"/>
      <c r="F71" s="48" t="s">
        <v>435</v>
      </c>
      <c r="G71" s="48">
        <v>0</v>
      </c>
      <c r="H71" s="48">
        <v>2</v>
      </c>
      <c r="I71" s="48" t="s">
        <v>436</v>
      </c>
      <c r="J71" s="48" t="s">
        <v>437</v>
      </c>
      <c r="K71" s="48" t="s">
        <v>438</v>
      </c>
      <c r="L71" s="48" t="s">
        <v>439</v>
      </c>
      <c r="M71" s="48" t="s">
        <v>438</v>
      </c>
      <c r="N71" s="48" t="s">
        <v>440</v>
      </c>
      <c r="O71" s="48" t="s">
        <v>181</v>
      </c>
      <c r="P71" s="48" t="s">
        <v>181</v>
      </c>
      <c r="Q71" s="48">
        <v>26098.49</v>
      </c>
      <c r="R71" s="48">
        <v>0</v>
      </c>
      <c r="S71" s="48">
        <v>0</v>
      </c>
      <c r="T71" s="48">
        <v>1763557.4</v>
      </c>
      <c r="U71" s="48">
        <v>0</v>
      </c>
      <c r="V71" s="48">
        <v>69114.539999999994</v>
      </c>
      <c r="W71" s="48">
        <v>0</v>
      </c>
      <c r="X71" s="48">
        <v>20175</v>
      </c>
      <c r="Y71" s="48">
        <v>61702.400000000001</v>
      </c>
      <c r="Z71" s="48">
        <v>0</v>
      </c>
      <c r="AA71" s="48">
        <v>1900</v>
      </c>
      <c r="AB71" s="48">
        <v>1687.87</v>
      </c>
      <c r="AC71" s="48">
        <v>23992.35</v>
      </c>
      <c r="AD71" s="48">
        <v>0</v>
      </c>
      <c r="AE71" s="48">
        <v>0</v>
      </c>
      <c r="AF71" s="48">
        <v>20969.419999999998</v>
      </c>
      <c r="AG71" s="48">
        <v>238808.76</v>
      </c>
      <c r="AH71" s="48">
        <v>0</v>
      </c>
      <c r="AI71" s="48">
        <v>0</v>
      </c>
      <c r="AJ71" s="48">
        <v>0</v>
      </c>
      <c r="AK71" s="48">
        <v>0</v>
      </c>
      <c r="AL71" s="48">
        <v>0</v>
      </c>
      <c r="AM71" s="48">
        <v>14810.62</v>
      </c>
      <c r="AN71" s="48">
        <v>92602.33</v>
      </c>
      <c r="AO71" s="48">
        <v>1278883.73</v>
      </c>
      <c r="AP71" s="48">
        <v>0</v>
      </c>
      <c r="AQ71" s="48">
        <v>183152.82</v>
      </c>
      <c r="AR71" s="48">
        <v>36701.760000000002</v>
      </c>
      <c r="AS71" s="48">
        <v>145673.19</v>
      </c>
      <c r="AT71" s="48">
        <v>0</v>
      </c>
      <c r="AU71" s="48">
        <v>34692.199999999997</v>
      </c>
      <c r="AV71" s="48">
        <v>-1897.68</v>
      </c>
      <c r="AW71" s="48">
        <v>3140</v>
      </c>
      <c r="AX71" s="48">
        <v>623.20000000000005</v>
      </c>
      <c r="AY71" s="48">
        <v>0</v>
      </c>
      <c r="AZ71" s="48">
        <v>10446.200000000001</v>
      </c>
      <c r="BA71" s="48">
        <v>120</v>
      </c>
      <c r="BB71" s="48">
        <v>34201.82</v>
      </c>
      <c r="BC71" s="48">
        <v>8413.36</v>
      </c>
      <c r="BD71" s="48">
        <v>39267.14</v>
      </c>
      <c r="BE71" s="48">
        <v>4787.2</v>
      </c>
      <c r="BF71" s="48">
        <v>81069.960000000006</v>
      </c>
      <c r="BG71" s="48">
        <v>109900.26</v>
      </c>
      <c r="BH71" s="48">
        <v>12934.31</v>
      </c>
      <c r="BI71" s="48">
        <v>0</v>
      </c>
      <c r="BJ71" s="48">
        <v>11579.84</v>
      </c>
      <c r="BK71" s="48">
        <v>3370.6</v>
      </c>
      <c r="BL71" s="48">
        <v>94451.13</v>
      </c>
      <c r="BM71" s="48">
        <v>84748.85</v>
      </c>
      <c r="BN71" s="48">
        <v>0</v>
      </c>
      <c r="BO71" s="48">
        <v>192703.86</v>
      </c>
      <c r="BP71" s="48">
        <v>28005.52</v>
      </c>
      <c r="BQ71" s="48">
        <v>0</v>
      </c>
      <c r="BR71" s="48">
        <v>0</v>
      </c>
      <c r="BS71" s="48">
        <v>0</v>
      </c>
      <c r="BT71" s="48">
        <v>0</v>
      </c>
      <c r="BU71" s="48">
        <v>0</v>
      </c>
      <c r="BV71" s="48">
        <v>0</v>
      </c>
      <c r="BW71" s="48">
        <v>0</v>
      </c>
      <c r="BX71" s="48">
        <v>0</v>
      </c>
      <c r="BY71" s="48">
        <v>1</v>
      </c>
      <c r="BZ71" s="48">
        <v>0</v>
      </c>
      <c r="CA71" s="453">
        <v>0</v>
      </c>
      <c r="CB71" s="454"/>
      <c r="CC71" s="48">
        <v>0</v>
      </c>
      <c r="CD71" s="48">
        <v>0</v>
      </c>
      <c r="CE71" s="48">
        <v>0</v>
      </c>
      <c r="CF71" s="48">
        <v>-61550</v>
      </c>
      <c r="CG71" s="48">
        <v>0</v>
      </c>
      <c r="CH71" s="48">
        <v>0</v>
      </c>
      <c r="CI71" s="48">
        <v>0</v>
      </c>
      <c r="CJ71" s="49">
        <v>0</v>
      </c>
      <c r="CK71" s="50">
        <f t="shared" si="2"/>
        <v>-61550</v>
      </c>
      <c r="CL71" s="50">
        <f t="shared" si="3"/>
        <v>0</v>
      </c>
    </row>
    <row r="72" spans="1:90" ht="25.5">
      <c r="A72" s="48">
        <v>302</v>
      </c>
      <c r="B72" s="48">
        <v>3514</v>
      </c>
      <c r="C72" s="48" t="s">
        <v>467</v>
      </c>
      <c r="D72" s="48" t="s">
        <v>441</v>
      </c>
      <c r="E72" s="48"/>
      <c r="F72" s="48" t="s">
        <v>435</v>
      </c>
      <c r="G72" s="48">
        <v>0</v>
      </c>
      <c r="H72" s="48">
        <v>0</v>
      </c>
      <c r="I72" s="48" t="s">
        <v>436</v>
      </c>
      <c r="J72" s="48" t="s">
        <v>437</v>
      </c>
      <c r="K72" s="48" t="s">
        <v>438</v>
      </c>
      <c r="L72" s="48" t="s">
        <v>439</v>
      </c>
      <c r="M72" s="48" t="s">
        <v>438</v>
      </c>
      <c r="N72" s="48" t="s">
        <v>440</v>
      </c>
      <c r="O72" s="48" t="s">
        <v>181</v>
      </c>
      <c r="P72" s="48" t="s">
        <v>181</v>
      </c>
      <c r="Q72" s="48">
        <v>78573.2</v>
      </c>
      <c r="R72" s="48">
        <v>0</v>
      </c>
      <c r="S72" s="48">
        <v>0</v>
      </c>
      <c r="T72" s="48">
        <v>1024994.39</v>
      </c>
      <c r="U72" s="48">
        <v>0</v>
      </c>
      <c r="V72" s="48">
        <v>18477.080000000002</v>
      </c>
      <c r="W72" s="48">
        <v>0</v>
      </c>
      <c r="X72" s="48">
        <v>69940.02</v>
      </c>
      <c r="Y72" s="48">
        <v>0</v>
      </c>
      <c r="Z72" s="48">
        <v>0</v>
      </c>
      <c r="AA72" s="48">
        <v>8492</v>
      </c>
      <c r="AB72" s="48">
        <v>0</v>
      </c>
      <c r="AC72" s="48">
        <v>19033.2</v>
      </c>
      <c r="AD72" s="48">
        <v>0</v>
      </c>
      <c r="AE72" s="48">
        <v>0</v>
      </c>
      <c r="AF72" s="48">
        <v>33882.53</v>
      </c>
      <c r="AG72" s="48">
        <v>6796.48</v>
      </c>
      <c r="AH72" s="48">
        <v>0</v>
      </c>
      <c r="AI72" s="48">
        <v>0</v>
      </c>
      <c r="AJ72" s="48">
        <v>0</v>
      </c>
      <c r="AK72" s="48">
        <v>0</v>
      </c>
      <c r="AL72" s="48">
        <v>37434.04</v>
      </c>
      <c r="AM72" s="48">
        <v>8932.64</v>
      </c>
      <c r="AN72" s="48">
        <v>0</v>
      </c>
      <c r="AO72" s="48">
        <v>682241.22</v>
      </c>
      <c r="AP72" s="48">
        <v>3260.46</v>
      </c>
      <c r="AQ72" s="48">
        <v>123322.75</v>
      </c>
      <c r="AR72" s="48">
        <v>53335.360000000001</v>
      </c>
      <c r="AS72" s="48">
        <v>39887.35</v>
      </c>
      <c r="AT72" s="48">
        <v>0</v>
      </c>
      <c r="AU72" s="48">
        <v>3343.8</v>
      </c>
      <c r="AV72" s="48">
        <v>1917.49</v>
      </c>
      <c r="AW72" s="48">
        <v>2837.05</v>
      </c>
      <c r="AX72" s="48">
        <v>339.48</v>
      </c>
      <c r="AY72" s="48">
        <v>0</v>
      </c>
      <c r="AZ72" s="48">
        <v>9736.7199999999993</v>
      </c>
      <c r="BA72" s="48">
        <v>5199.6899999999996</v>
      </c>
      <c r="BB72" s="48">
        <v>8441.6200000000008</v>
      </c>
      <c r="BC72" s="48">
        <v>860.7</v>
      </c>
      <c r="BD72" s="48">
        <v>8026.96</v>
      </c>
      <c r="BE72" s="48">
        <v>8857.6</v>
      </c>
      <c r="BF72" s="48">
        <v>6315.17</v>
      </c>
      <c r="BG72" s="48">
        <v>55757.03</v>
      </c>
      <c r="BH72" s="48">
        <v>11764.18</v>
      </c>
      <c r="BI72" s="48">
        <v>0</v>
      </c>
      <c r="BJ72" s="48">
        <v>14051.86</v>
      </c>
      <c r="BK72" s="48">
        <v>11009.13</v>
      </c>
      <c r="BL72" s="48">
        <v>7459.5</v>
      </c>
      <c r="BM72" s="48">
        <v>27575.73</v>
      </c>
      <c r="BN72" s="48">
        <v>23140.5</v>
      </c>
      <c r="BO72" s="48">
        <v>91219.25</v>
      </c>
      <c r="BP72" s="48">
        <v>36172.230000000003</v>
      </c>
      <c r="BQ72" s="48">
        <v>0</v>
      </c>
      <c r="BR72" s="48">
        <v>0</v>
      </c>
      <c r="BS72" s="48">
        <v>0</v>
      </c>
      <c r="BT72" s="48">
        <v>0</v>
      </c>
      <c r="BU72" s="48">
        <v>0</v>
      </c>
      <c r="BV72" s="48">
        <v>0</v>
      </c>
      <c r="BW72" s="48">
        <v>0</v>
      </c>
      <c r="BX72" s="48">
        <v>0</v>
      </c>
      <c r="BY72" s="48">
        <v>1</v>
      </c>
      <c r="BZ72" s="48">
        <v>0</v>
      </c>
      <c r="CA72" s="453">
        <v>0</v>
      </c>
      <c r="CB72" s="454"/>
      <c r="CC72" s="48">
        <v>0</v>
      </c>
      <c r="CD72" s="48">
        <v>0</v>
      </c>
      <c r="CE72" s="48">
        <v>0</v>
      </c>
      <c r="CF72" s="48">
        <v>70483</v>
      </c>
      <c r="CG72" s="48">
        <v>0</v>
      </c>
      <c r="CH72" s="48">
        <v>0</v>
      </c>
      <c r="CI72" s="48">
        <v>0</v>
      </c>
      <c r="CJ72" s="49">
        <v>0</v>
      </c>
      <c r="CK72" s="50">
        <f t="shared" si="2"/>
        <v>70483</v>
      </c>
      <c r="CL72" s="50">
        <f t="shared" si="3"/>
        <v>0</v>
      </c>
    </row>
    <row r="73" spans="1:90" ht="25.5">
      <c r="A73" s="48">
        <v>302</v>
      </c>
      <c r="B73" s="48">
        <v>3516</v>
      </c>
      <c r="C73" s="48" t="s">
        <v>64</v>
      </c>
      <c r="D73" s="48" t="s">
        <v>441</v>
      </c>
      <c r="E73" s="48"/>
      <c r="F73" s="48" t="s">
        <v>435</v>
      </c>
      <c r="G73" s="48">
        <v>0</v>
      </c>
      <c r="H73" s="48">
        <v>1</v>
      </c>
      <c r="I73" s="48" t="s">
        <v>436</v>
      </c>
      <c r="J73" s="48" t="s">
        <v>437</v>
      </c>
      <c r="K73" s="48" t="s">
        <v>438</v>
      </c>
      <c r="L73" s="48" t="s">
        <v>439</v>
      </c>
      <c r="M73" s="48" t="s">
        <v>438</v>
      </c>
      <c r="N73" s="48" t="s">
        <v>440</v>
      </c>
      <c r="O73" s="48" t="s">
        <v>181</v>
      </c>
      <c r="P73" s="48" t="s">
        <v>181</v>
      </c>
      <c r="Q73" s="48">
        <v>-13176.67</v>
      </c>
      <c r="R73" s="48">
        <v>0</v>
      </c>
      <c r="S73" s="48">
        <v>0</v>
      </c>
      <c r="T73" s="48">
        <v>1045210.35</v>
      </c>
      <c r="U73" s="48">
        <v>0</v>
      </c>
      <c r="V73" s="48">
        <v>70641.600000000006</v>
      </c>
      <c r="W73" s="48">
        <v>0</v>
      </c>
      <c r="X73" s="48">
        <v>34625.07</v>
      </c>
      <c r="Y73" s="48">
        <v>51525</v>
      </c>
      <c r="Z73" s="48">
        <v>0</v>
      </c>
      <c r="AA73" s="48">
        <v>0</v>
      </c>
      <c r="AB73" s="48">
        <v>4240</v>
      </c>
      <c r="AC73" s="48">
        <v>114</v>
      </c>
      <c r="AD73" s="48">
        <v>0</v>
      </c>
      <c r="AE73" s="48">
        <v>0</v>
      </c>
      <c r="AF73" s="48">
        <v>449</v>
      </c>
      <c r="AG73" s="48">
        <v>294175.53000000003</v>
      </c>
      <c r="AH73" s="48">
        <v>0</v>
      </c>
      <c r="AI73" s="48">
        <v>0</v>
      </c>
      <c r="AJ73" s="48">
        <v>0</v>
      </c>
      <c r="AK73" s="48">
        <v>0</v>
      </c>
      <c r="AL73" s="48">
        <v>0</v>
      </c>
      <c r="AM73" s="48">
        <v>10128.120000000001</v>
      </c>
      <c r="AN73" s="48">
        <v>46138.67</v>
      </c>
      <c r="AO73" s="48">
        <v>837270.51</v>
      </c>
      <c r="AP73" s="48">
        <v>4009.47</v>
      </c>
      <c r="AQ73" s="48">
        <v>274091.28000000003</v>
      </c>
      <c r="AR73" s="48">
        <v>64063.39</v>
      </c>
      <c r="AS73" s="48">
        <v>103196.9</v>
      </c>
      <c r="AT73" s="48">
        <v>0</v>
      </c>
      <c r="AU73" s="48">
        <v>33756.07</v>
      </c>
      <c r="AV73" s="48">
        <v>2399.5</v>
      </c>
      <c r="AW73" s="48">
        <v>3105</v>
      </c>
      <c r="AX73" s="48">
        <v>7182.26</v>
      </c>
      <c r="AY73" s="48">
        <v>778.27</v>
      </c>
      <c r="AZ73" s="48">
        <v>5120.8900000000003</v>
      </c>
      <c r="BA73" s="48">
        <v>47.78</v>
      </c>
      <c r="BB73" s="48">
        <v>869.31</v>
      </c>
      <c r="BC73" s="48">
        <v>3664.97</v>
      </c>
      <c r="BD73" s="48">
        <v>16847.560000000001</v>
      </c>
      <c r="BE73" s="48">
        <v>16598.400000000001</v>
      </c>
      <c r="BF73" s="48">
        <v>57628.43</v>
      </c>
      <c r="BG73" s="48">
        <v>33449.730000000003</v>
      </c>
      <c r="BH73" s="48">
        <v>15322.23</v>
      </c>
      <c r="BI73" s="48">
        <v>0</v>
      </c>
      <c r="BJ73" s="48">
        <v>7057.54</v>
      </c>
      <c r="BK73" s="48">
        <v>5376.25</v>
      </c>
      <c r="BL73" s="48">
        <v>45.99</v>
      </c>
      <c r="BM73" s="48">
        <v>29398.41</v>
      </c>
      <c r="BN73" s="48">
        <v>13721.17</v>
      </c>
      <c r="BO73" s="48">
        <v>17645.78</v>
      </c>
      <c r="BP73" s="48">
        <v>17214.22</v>
      </c>
      <c r="BQ73" s="48">
        <v>0</v>
      </c>
      <c r="BR73" s="48">
        <v>0</v>
      </c>
      <c r="BS73" s="48">
        <v>0</v>
      </c>
      <c r="BT73" s="48">
        <v>0</v>
      </c>
      <c r="BU73" s="48">
        <v>0</v>
      </c>
      <c r="BV73" s="48">
        <v>0</v>
      </c>
      <c r="BW73" s="48">
        <v>0</v>
      </c>
      <c r="BX73" s="48">
        <v>0</v>
      </c>
      <c r="BY73" s="48">
        <v>1</v>
      </c>
      <c r="BZ73" s="48">
        <v>0</v>
      </c>
      <c r="CA73" s="453">
        <v>0</v>
      </c>
      <c r="CB73" s="454"/>
      <c r="CC73" s="48">
        <v>0</v>
      </c>
      <c r="CD73" s="48">
        <v>0</v>
      </c>
      <c r="CE73" s="48">
        <v>0</v>
      </c>
      <c r="CF73" s="48">
        <v>-25791</v>
      </c>
      <c r="CG73" s="48">
        <v>0</v>
      </c>
      <c r="CH73" s="48">
        <v>0</v>
      </c>
      <c r="CI73" s="48">
        <v>0</v>
      </c>
      <c r="CJ73" s="49">
        <v>0</v>
      </c>
      <c r="CK73" s="50">
        <f t="shared" si="2"/>
        <v>-25791</v>
      </c>
      <c r="CL73" s="50">
        <f t="shared" si="3"/>
        <v>0</v>
      </c>
    </row>
    <row r="74" spans="1:90">
      <c r="A74" s="48">
        <v>302</v>
      </c>
      <c r="B74" s="48">
        <v>3518</v>
      </c>
      <c r="C74" s="48" t="s">
        <v>468</v>
      </c>
      <c r="D74" s="48" t="s">
        <v>441</v>
      </c>
      <c r="E74" s="48"/>
      <c r="F74" s="48" t="s">
        <v>435</v>
      </c>
      <c r="G74" s="48">
        <v>0</v>
      </c>
      <c r="H74" s="48">
        <v>1</v>
      </c>
      <c r="I74" s="48" t="s">
        <v>436</v>
      </c>
      <c r="J74" s="48" t="s">
        <v>437</v>
      </c>
      <c r="K74" s="48" t="s">
        <v>438</v>
      </c>
      <c r="L74" s="48" t="s">
        <v>439</v>
      </c>
      <c r="M74" s="48" t="s">
        <v>438</v>
      </c>
      <c r="N74" s="48" t="s">
        <v>440</v>
      </c>
      <c r="O74" s="48" t="s">
        <v>181</v>
      </c>
      <c r="P74" s="48" t="s">
        <v>181</v>
      </c>
      <c r="Q74" s="48">
        <v>59900.14</v>
      </c>
      <c r="R74" s="48">
        <v>0</v>
      </c>
      <c r="S74" s="48">
        <v>883.24</v>
      </c>
      <c r="T74" s="48">
        <v>2197899.89</v>
      </c>
      <c r="U74" s="48">
        <v>0</v>
      </c>
      <c r="V74" s="48">
        <v>30654.41</v>
      </c>
      <c r="W74" s="48">
        <v>0</v>
      </c>
      <c r="X74" s="48">
        <v>199396.04</v>
      </c>
      <c r="Y74" s="48">
        <v>4348.42</v>
      </c>
      <c r="Z74" s="48">
        <v>0</v>
      </c>
      <c r="AA74" s="48">
        <v>7200</v>
      </c>
      <c r="AB74" s="48">
        <v>17043</v>
      </c>
      <c r="AC74" s="48">
        <v>15281.3</v>
      </c>
      <c r="AD74" s="48">
        <v>6900</v>
      </c>
      <c r="AE74" s="48">
        <v>0</v>
      </c>
      <c r="AF74" s="48">
        <v>13050</v>
      </c>
      <c r="AG74" s="48">
        <v>3716.45</v>
      </c>
      <c r="AH74" s="48">
        <v>0</v>
      </c>
      <c r="AI74" s="48">
        <v>0</v>
      </c>
      <c r="AJ74" s="48">
        <v>0</v>
      </c>
      <c r="AK74" s="48">
        <v>0</v>
      </c>
      <c r="AL74" s="48">
        <v>0</v>
      </c>
      <c r="AM74" s="48">
        <v>33035</v>
      </c>
      <c r="AN74" s="48">
        <v>56713.83</v>
      </c>
      <c r="AO74" s="48">
        <v>1205112.29</v>
      </c>
      <c r="AP74" s="48">
        <v>6875.78</v>
      </c>
      <c r="AQ74" s="48">
        <v>627131.76</v>
      </c>
      <c r="AR74" s="48">
        <v>15781.86</v>
      </c>
      <c r="AS74" s="48">
        <v>35846.46</v>
      </c>
      <c r="AT74" s="48">
        <v>0</v>
      </c>
      <c r="AU74" s="48">
        <v>130398.41</v>
      </c>
      <c r="AV74" s="48">
        <v>14121.14</v>
      </c>
      <c r="AW74" s="48">
        <v>8159.45</v>
      </c>
      <c r="AX74" s="48">
        <v>13830.34</v>
      </c>
      <c r="AY74" s="48">
        <v>0</v>
      </c>
      <c r="AZ74" s="48">
        <v>17246.669999999998</v>
      </c>
      <c r="BA74" s="48">
        <v>2249.7600000000002</v>
      </c>
      <c r="BB74" s="48">
        <v>52853.67</v>
      </c>
      <c r="BC74" s="48">
        <v>1704.1</v>
      </c>
      <c r="BD74" s="48">
        <v>38511.86</v>
      </c>
      <c r="BE74" s="48">
        <v>35328</v>
      </c>
      <c r="BF74" s="48">
        <v>9426.75</v>
      </c>
      <c r="BG74" s="48">
        <v>40032.449999999997</v>
      </c>
      <c r="BH74" s="48">
        <v>17411.41</v>
      </c>
      <c r="BI74" s="48">
        <v>0</v>
      </c>
      <c r="BJ74" s="48">
        <v>18087.810000000001</v>
      </c>
      <c r="BK74" s="48">
        <v>11287.3</v>
      </c>
      <c r="BL74" s="48">
        <v>5529.49</v>
      </c>
      <c r="BM74" s="48">
        <v>88796.21</v>
      </c>
      <c r="BN74" s="48">
        <v>84192.48</v>
      </c>
      <c r="BO74" s="48">
        <v>135265.09</v>
      </c>
      <c r="BP74" s="48">
        <v>42339.77</v>
      </c>
      <c r="BQ74" s="48">
        <v>0</v>
      </c>
      <c r="BR74" s="48">
        <v>0</v>
      </c>
      <c r="BS74" s="48">
        <v>3964</v>
      </c>
      <c r="BT74" s="48">
        <v>0</v>
      </c>
      <c r="BU74" s="48">
        <v>0</v>
      </c>
      <c r="BV74" s="48">
        <v>8761</v>
      </c>
      <c r="BW74" s="48">
        <v>0</v>
      </c>
      <c r="BX74" s="48">
        <v>3964</v>
      </c>
      <c r="BY74" s="48">
        <v>1</v>
      </c>
      <c r="BZ74" s="48">
        <v>0</v>
      </c>
      <c r="CA74" s="453">
        <v>5615</v>
      </c>
      <c r="CB74" s="454"/>
      <c r="CC74" s="48">
        <v>0</v>
      </c>
      <c r="CD74" s="48">
        <v>7306.88</v>
      </c>
      <c r="CE74" s="48">
        <v>0</v>
      </c>
      <c r="CF74" s="48">
        <v>-16346</v>
      </c>
      <c r="CG74" s="48">
        <v>686</v>
      </c>
      <c r="CH74" s="48">
        <v>0</v>
      </c>
      <c r="CI74" s="48">
        <v>0</v>
      </c>
      <c r="CJ74" s="49">
        <v>0</v>
      </c>
      <c r="CK74" s="50">
        <f t="shared" si="2"/>
        <v>-16346</v>
      </c>
      <c r="CL74" s="50">
        <f t="shared" si="3"/>
        <v>686</v>
      </c>
    </row>
    <row r="75" spans="1:90">
      <c r="A75" s="48">
        <v>302</v>
      </c>
      <c r="B75" s="48">
        <v>3520</v>
      </c>
      <c r="C75" s="48" t="s">
        <v>241</v>
      </c>
      <c r="D75" s="48" t="s">
        <v>441</v>
      </c>
      <c r="E75" s="48"/>
      <c r="F75" s="48" t="s">
        <v>435</v>
      </c>
      <c r="G75" s="48">
        <v>0</v>
      </c>
      <c r="H75" s="48">
        <v>0</v>
      </c>
      <c r="I75" s="48" t="s">
        <v>436</v>
      </c>
      <c r="J75" s="48" t="s">
        <v>437</v>
      </c>
      <c r="K75" s="48" t="s">
        <v>438</v>
      </c>
      <c r="L75" s="48" t="s">
        <v>439</v>
      </c>
      <c r="M75" s="48" t="s">
        <v>438</v>
      </c>
      <c r="N75" s="48" t="s">
        <v>440</v>
      </c>
      <c r="O75" s="48" t="s">
        <v>181</v>
      </c>
      <c r="P75" s="48" t="s">
        <v>181</v>
      </c>
      <c r="Q75" s="48">
        <v>138410.47</v>
      </c>
      <c r="R75" s="48">
        <v>0</v>
      </c>
      <c r="S75" s="48">
        <v>0</v>
      </c>
      <c r="T75" s="48">
        <v>1767768</v>
      </c>
      <c r="U75" s="48">
        <v>0</v>
      </c>
      <c r="V75" s="48">
        <v>103625</v>
      </c>
      <c r="W75" s="48">
        <v>0</v>
      </c>
      <c r="X75" s="48">
        <v>1410</v>
      </c>
      <c r="Y75" s="48">
        <v>53782</v>
      </c>
      <c r="Z75" s="48">
        <v>0</v>
      </c>
      <c r="AA75" s="48">
        <v>29056</v>
      </c>
      <c r="AB75" s="48">
        <v>6021</v>
      </c>
      <c r="AC75" s="48">
        <v>84935</v>
      </c>
      <c r="AD75" s="48">
        <v>4900</v>
      </c>
      <c r="AE75" s="48">
        <v>0</v>
      </c>
      <c r="AF75" s="48">
        <v>94840</v>
      </c>
      <c r="AG75" s="48">
        <v>452166</v>
      </c>
      <c r="AH75" s="48">
        <v>0</v>
      </c>
      <c r="AI75" s="48">
        <v>0</v>
      </c>
      <c r="AJ75" s="48">
        <v>0</v>
      </c>
      <c r="AK75" s="48">
        <v>0</v>
      </c>
      <c r="AL75" s="48">
        <v>0</v>
      </c>
      <c r="AM75" s="48">
        <v>14179</v>
      </c>
      <c r="AN75" s="48">
        <v>100245</v>
      </c>
      <c r="AO75" s="48">
        <v>1166438</v>
      </c>
      <c r="AP75" s="48">
        <v>1400</v>
      </c>
      <c r="AQ75" s="48">
        <v>442342</v>
      </c>
      <c r="AR75" s="48">
        <v>45481</v>
      </c>
      <c r="AS75" s="48">
        <v>153432</v>
      </c>
      <c r="AT75" s="48">
        <v>0</v>
      </c>
      <c r="AU75" s="48">
        <v>23767</v>
      </c>
      <c r="AV75" s="48">
        <v>1060</v>
      </c>
      <c r="AW75" s="48">
        <v>1374</v>
      </c>
      <c r="AX75" s="48">
        <v>12283</v>
      </c>
      <c r="AY75" s="48">
        <v>0</v>
      </c>
      <c r="AZ75" s="48">
        <v>50726</v>
      </c>
      <c r="BA75" s="48">
        <v>1185</v>
      </c>
      <c r="BB75" s="48">
        <v>43163</v>
      </c>
      <c r="BC75" s="48">
        <v>15922</v>
      </c>
      <c r="BD75" s="48">
        <v>21139</v>
      </c>
      <c r="BE75" s="48">
        <v>12449</v>
      </c>
      <c r="BF75" s="48">
        <v>86022</v>
      </c>
      <c r="BG75" s="48">
        <v>186432</v>
      </c>
      <c r="BH75" s="48">
        <v>23719</v>
      </c>
      <c r="BI75" s="48">
        <v>0</v>
      </c>
      <c r="BJ75" s="48">
        <v>11308</v>
      </c>
      <c r="BK75" s="48">
        <v>39634</v>
      </c>
      <c r="BL75" s="48">
        <v>3715</v>
      </c>
      <c r="BM75" s="48">
        <v>175836</v>
      </c>
      <c r="BN75" s="48">
        <v>100457</v>
      </c>
      <c r="BO75" s="48">
        <v>46444</v>
      </c>
      <c r="BP75" s="48">
        <v>37299</v>
      </c>
      <c r="BQ75" s="48">
        <v>0</v>
      </c>
      <c r="BR75" s="48">
        <v>0</v>
      </c>
      <c r="BS75" s="48">
        <v>0</v>
      </c>
      <c r="BT75" s="48">
        <v>0</v>
      </c>
      <c r="BU75" s="48">
        <v>0</v>
      </c>
      <c r="BV75" s="48">
        <v>0</v>
      </c>
      <c r="BW75" s="48">
        <v>0</v>
      </c>
      <c r="BX75" s="48">
        <v>0</v>
      </c>
      <c r="BY75" s="48">
        <v>1</v>
      </c>
      <c r="BZ75" s="48">
        <v>0</v>
      </c>
      <c r="CA75" s="453">
        <v>0</v>
      </c>
      <c r="CB75" s="454"/>
      <c r="CC75" s="48">
        <v>0</v>
      </c>
      <c r="CD75" s="48">
        <v>0</v>
      </c>
      <c r="CE75" s="48">
        <v>23612</v>
      </c>
      <c r="CF75" s="48">
        <v>124698</v>
      </c>
      <c r="CG75" s="48">
        <v>0</v>
      </c>
      <c r="CH75" s="48">
        <v>0</v>
      </c>
      <c r="CI75" s="48">
        <v>0</v>
      </c>
      <c r="CJ75" s="49">
        <v>0</v>
      </c>
      <c r="CK75" s="50">
        <f t="shared" si="2"/>
        <v>148310</v>
      </c>
      <c r="CL75" s="50">
        <f t="shared" si="3"/>
        <v>0</v>
      </c>
    </row>
    <row r="76" spans="1:90" ht="38.25">
      <c r="A76" s="48">
        <v>302</v>
      </c>
      <c r="B76" s="48">
        <v>3521</v>
      </c>
      <c r="C76" s="48" t="s">
        <v>340</v>
      </c>
      <c r="D76" s="48" t="s">
        <v>441</v>
      </c>
      <c r="E76" s="48"/>
      <c r="F76" s="48" t="s">
        <v>435</v>
      </c>
      <c r="G76" s="48">
        <v>0</v>
      </c>
      <c r="H76" s="48">
        <v>2</v>
      </c>
      <c r="I76" s="48" t="s">
        <v>436</v>
      </c>
      <c r="J76" s="48" t="s">
        <v>437</v>
      </c>
      <c r="K76" s="48" t="s">
        <v>438</v>
      </c>
      <c r="L76" s="48" t="s">
        <v>439</v>
      </c>
      <c r="M76" s="48" t="s">
        <v>438</v>
      </c>
      <c r="N76" s="48" t="s">
        <v>440</v>
      </c>
      <c r="O76" s="48" t="s">
        <v>181</v>
      </c>
      <c r="P76" s="48" t="s">
        <v>181</v>
      </c>
      <c r="Q76" s="48">
        <v>1028875</v>
      </c>
      <c r="R76" s="48">
        <v>0</v>
      </c>
      <c r="S76" s="48">
        <v>0</v>
      </c>
      <c r="T76" s="48">
        <v>8344058.6900000004</v>
      </c>
      <c r="U76" s="48">
        <v>399027.98</v>
      </c>
      <c r="V76" s="48">
        <v>253222.18</v>
      </c>
      <c r="W76" s="48">
        <v>0</v>
      </c>
      <c r="X76" s="48">
        <v>529650.03</v>
      </c>
      <c r="Y76" s="48">
        <v>1500</v>
      </c>
      <c r="Z76" s="48">
        <v>17168.75</v>
      </c>
      <c r="AA76" s="48">
        <v>26154.36</v>
      </c>
      <c r="AB76" s="48">
        <v>60588.46</v>
      </c>
      <c r="AC76" s="48">
        <v>205401.39</v>
      </c>
      <c r="AD76" s="48">
        <v>0</v>
      </c>
      <c r="AE76" s="48">
        <v>0</v>
      </c>
      <c r="AF76" s="48">
        <v>12456.69</v>
      </c>
      <c r="AG76" s="48">
        <v>10849.41</v>
      </c>
      <c r="AH76" s="48">
        <v>0</v>
      </c>
      <c r="AI76" s="48">
        <v>0</v>
      </c>
      <c r="AJ76" s="48">
        <v>0</v>
      </c>
      <c r="AK76" s="48">
        <v>0</v>
      </c>
      <c r="AL76" s="48">
        <v>33900</v>
      </c>
      <c r="AM76" s="48">
        <v>47430</v>
      </c>
      <c r="AN76" s="48">
        <v>196007.36</v>
      </c>
      <c r="AO76" s="48">
        <v>5245359.7300000004</v>
      </c>
      <c r="AP76" s="48">
        <v>0</v>
      </c>
      <c r="AQ76" s="48">
        <v>1101677.72</v>
      </c>
      <c r="AR76" s="48">
        <v>215025.46</v>
      </c>
      <c r="AS76" s="48">
        <v>676298.01</v>
      </c>
      <c r="AT76" s="48">
        <v>0</v>
      </c>
      <c r="AU76" s="48">
        <v>82706.86</v>
      </c>
      <c r="AV76" s="48">
        <v>157364.97</v>
      </c>
      <c r="AW76" s="48">
        <v>20582.8</v>
      </c>
      <c r="AX76" s="48">
        <v>2248.52</v>
      </c>
      <c r="AY76" s="48">
        <v>100</v>
      </c>
      <c r="AZ76" s="48">
        <v>58006.83</v>
      </c>
      <c r="BA76" s="48">
        <v>15148.75</v>
      </c>
      <c r="BB76" s="48">
        <v>165144.04</v>
      </c>
      <c r="BC76" s="48">
        <v>29433.599999999999</v>
      </c>
      <c r="BD76" s="48">
        <v>127265.95</v>
      </c>
      <c r="BE76" s="48">
        <v>43198.400000000001</v>
      </c>
      <c r="BF76" s="48">
        <v>59357.84</v>
      </c>
      <c r="BG76" s="48">
        <v>213596.78</v>
      </c>
      <c r="BH76" s="48">
        <v>84116.69</v>
      </c>
      <c r="BI76" s="48">
        <v>48753.2</v>
      </c>
      <c r="BJ76" s="48">
        <v>102045.41</v>
      </c>
      <c r="BK76" s="48">
        <v>43993.77</v>
      </c>
      <c r="BL76" s="48">
        <v>37143.269999999997</v>
      </c>
      <c r="BM76" s="48">
        <v>381177.55</v>
      </c>
      <c r="BN76" s="48">
        <v>423193.49</v>
      </c>
      <c r="BO76" s="48">
        <v>407080.07</v>
      </c>
      <c r="BP76" s="48">
        <v>107617.36</v>
      </c>
      <c r="BQ76" s="48">
        <v>0</v>
      </c>
      <c r="BR76" s="48">
        <v>0</v>
      </c>
      <c r="BS76" s="48">
        <v>53620.98</v>
      </c>
      <c r="BT76" s="48">
        <v>0</v>
      </c>
      <c r="BU76" s="48">
        <v>0</v>
      </c>
      <c r="BV76" s="48">
        <v>0</v>
      </c>
      <c r="BW76" s="48">
        <v>0</v>
      </c>
      <c r="BX76" s="48">
        <v>0</v>
      </c>
      <c r="BY76" s="48">
        <v>1</v>
      </c>
      <c r="BZ76" s="48">
        <v>0</v>
      </c>
      <c r="CA76" s="453">
        <v>0</v>
      </c>
      <c r="CB76" s="454"/>
      <c r="CC76" s="48">
        <v>0</v>
      </c>
      <c r="CD76" s="48">
        <v>0</v>
      </c>
      <c r="CE76" s="48">
        <v>19717</v>
      </c>
      <c r="CF76" s="48">
        <v>1245315</v>
      </c>
      <c r="CG76" s="48">
        <v>0</v>
      </c>
      <c r="CH76" s="48">
        <v>0</v>
      </c>
      <c r="CI76" s="48">
        <v>0</v>
      </c>
      <c r="CJ76" s="49">
        <v>0</v>
      </c>
      <c r="CK76" s="50">
        <f t="shared" si="2"/>
        <v>1265032</v>
      </c>
      <c r="CL76" s="50">
        <f t="shared" si="3"/>
        <v>0</v>
      </c>
    </row>
    <row r="77" spans="1:90">
      <c r="A77" s="48">
        <v>302</v>
      </c>
      <c r="B77" s="48">
        <v>3523</v>
      </c>
      <c r="C77" s="48" t="s">
        <v>242</v>
      </c>
      <c r="D77" s="48" t="s">
        <v>441</v>
      </c>
      <c r="E77" s="48"/>
      <c r="F77" s="48" t="s">
        <v>435</v>
      </c>
      <c r="G77" s="48">
        <v>0</v>
      </c>
      <c r="H77" s="48">
        <v>0</v>
      </c>
      <c r="I77" s="48" t="s">
        <v>436</v>
      </c>
      <c r="J77" s="48" t="s">
        <v>437</v>
      </c>
      <c r="K77" s="48" t="s">
        <v>438</v>
      </c>
      <c r="L77" s="48" t="s">
        <v>439</v>
      </c>
      <c r="M77" s="48" t="s">
        <v>438</v>
      </c>
      <c r="N77" s="48" t="s">
        <v>440</v>
      </c>
      <c r="O77" s="48" t="s">
        <v>181</v>
      </c>
      <c r="P77" s="48" t="s">
        <v>181</v>
      </c>
      <c r="Q77" s="48">
        <v>138754.47</v>
      </c>
      <c r="R77" s="48">
        <v>0</v>
      </c>
      <c r="S77" s="48">
        <v>13494</v>
      </c>
      <c r="T77" s="48">
        <v>3136477.4</v>
      </c>
      <c r="U77" s="48">
        <v>0</v>
      </c>
      <c r="V77" s="48">
        <v>106515.43</v>
      </c>
      <c r="W77" s="48">
        <v>0</v>
      </c>
      <c r="X77" s="48">
        <v>147331.92000000001</v>
      </c>
      <c r="Y77" s="48">
        <v>0</v>
      </c>
      <c r="Z77" s="48">
        <v>3000</v>
      </c>
      <c r="AA77" s="48">
        <v>82823.759999999995</v>
      </c>
      <c r="AB77" s="48">
        <v>99295.01</v>
      </c>
      <c r="AC77" s="48">
        <v>58725.64</v>
      </c>
      <c r="AD77" s="48">
        <v>1350</v>
      </c>
      <c r="AE77" s="48">
        <v>0</v>
      </c>
      <c r="AF77" s="48">
        <v>55297.85</v>
      </c>
      <c r="AG77" s="48">
        <v>23809.83</v>
      </c>
      <c r="AH77" s="48">
        <v>0</v>
      </c>
      <c r="AI77" s="48">
        <v>0</v>
      </c>
      <c r="AJ77" s="48">
        <v>0</v>
      </c>
      <c r="AK77" s="48">
        <v>0</v>
      </c>
      <c r="AL77" s="48">
        <v>0</v>
      </c>
      <c r="AM77" s="48">
        <v>0</v>
      </c>
      <c r="AN77" s="48">
        <v>141409.71</v>
      </c>
      <c r="AO77" s="48">
        <v>1765709.69</v>
      </c>
      <c r="AP77" s="48">
        <v>0</v>
      </c>
      <c r="AQ77" s="48">
        <v>938973.26</v>
      </c>
      <c r="AR77" s="48">
        <v>166934.07</v>
      </c>
      <c r="AS77" s="48">
        <v>133235.15</v>
      </c>
      <c r="AT77" s="48">
        <v>0</v>
      </c>
      <c r="AU77" s="48">
        <v>154380.74</v>
      </c>
      <c r="AV77" s="48">
        <v>21634.02</v>
      </c>
      <c r="AW77" s="48">
        <v>697.5</v>
      </c>
      <c r="AX77" s="48">
        <v>8277.52</v>
      </c>
      <c r="AY77" s="48">
        <v>0</v>
      </c>
      <c r="AZ77" s="48">
        <v>13193.71</v>
      </c>
      <c r="BA77" s="48">
        <v>262.5</v>
      </c>
      <c r="BB77" s="48">
        <v>9128.7099999999991</v>
      </c>
      <c r="BC77" s="48">
        <v>1777.16</v>
      </c>
      <c r="BD77" s="48">
        <v>41680.53</v>
      </c>
      <c r="BE77" s="48">
        <v>56924</v>
      </c>
      <c r="BF77" s="48">
        <v>12362.54</v>
      </c>
      <c r="BG77" s="48">
        <v>110514.21</v>
      </c>
      <c r="BH77" s="48">
        <v>12388.22</v>
      </c>
      <c r="BI77" s="48">
        <v>0</v>
      </c>
      <c r="BJ77" s="48">
        <v>11060.91</v>
      </c>
      <c r="BK77" s="48">
        <v>18542.27</v>
      </c>
      <c r="BL77" s="48">
        <v>641.77</v>
      </c>
      <c r="BM77" s="48">
        <v>161938.43</v>
      </c>
      <c r="BN77" s="48">
        <v>26549.58</v>
      </c>
      <c r="BO77" s="48">
        <v>118247.62</v>
      </c>
      <c r="BP77" s="48">
        <v>39744.04</v>
      </c>
      <c r="BQ77" s="48">
        <v>0</v>
      </c>
      <c r="BR77" s="48">
        <v>0</v>
      </c>
      <c r="BS77" s="48">
        <v>0</v>
      </c>
      <c r="BT77" s="48">
        <v>0</v>
      </c>
      <c r="BU77" s="48">
        <v>0</v>
      </c>
      <c r="BV77" s="48">
        <v>11461</v>
      </c>
      <c r="BW77" s="48">
        <v>0</v>
      </c>
      <c r="BX77" s="48">
        <v>0</v>
      </c>
      <c r="BY77" s="48">
        <v>1</v>
      </c>
      <c r="BZ77" s="48">
        <v>0</v>
      </c>
      <c r="CA77" s="453">
        <v>0</v>
      </c>
      <c r="CB77" s="454"/>
      <c r="CC77" s="48">
        <v>0</v>
      </c>
      <c r="CD77" s="48">
        <v>0</v>
      </c>
      <c r="CE77" s="48">
        <v>41681</v>
      </c>
      <c r="CF77" s="48">
        <v>128312</v>
      </c>
      <c r="CG77" s="48">
        <v>24955</v>
      </c>
      <c r="CH77" s="48">
        <v>0</v>
      </c>
      <c r="CI77" s="48">
        <v>0</v>
      </c>
      <c r="CJ77" s="49">
        <v>0</v>
      </c>
      <c r="CK77" s="50">
        <f t="shared" si="2"/>
        <v>169993</v>
      </c>
      <c r="CL77" s="50">
        <f t="shared" si="3"/>
        <v>24955</v>
      </c>
    </row>
    <row r="78" spans="1:90">
      <c r="A78" s="48">
        <v>302</v>
      </c>
      <c r="B78" s="48">
        <v>3524</v>
      </c>
      <c r="C78" s="48" t="s">
        <v>311</v>
      </c>
      <c r="D78" s="48" t="s">
        <v>441</v>
      </c>
      <c r="E78" s="48"/>
      <c r="F78" s="48" t="s">
        <v>435</v>
      </c>
      <c r="G78" s="48">
        <v>0</v>
      </c>
      <c r="H78" s="48">
        <v>0</v>
      </c>
      <c r="I78" s="48" t="s">
        <v>436</v>
      </c>
      <c r="J78" s="48" t="s">
        <v>437</v>
      </c>
      <c r="K78" s="48" t="s">
        <v>438</v>
      </c>
      <c r="L78" s="48" t="s">
        <v>439</v>
      </c>
      <c r="M78" s="48" t="s">
        <v>438</v>
      </c>
      <c r="N78" s="48" t="s">
        <v>440</v>
      </c>
      <c r="O78" s="48" t="s">
        <v>181</v>
      </c>
      <c r="P78" s="48" t="s">
        <v>181</v>
      </c>
      <c r="Q78" s="48">
        <v>-205818.78</v>
      </c>
      <c r="R78" s="48">
        <v>0</v>
      </c>
      <c r="S78" s="48">
        <v>0</v>
      </c>
      <c r="T78" s="48">
        <v>1002197.73</v>
      </c>
      <c r="U78" s="48">
        <v>0</v>
      </c>
      <c r="V78" s="48">
        <v>73799.179999999993</v>
      </c>
      <c r="W78" s="48">
        <v>0</v>
      </c>
      <c r="X78" s="48">
        <v>17484.96</v>
      </c>
      <c r="Y78" s="48">
        <v>65738.820000000007</v>
      </c>
      <c r="Z78" s="48">
        <v>16484.77</v>
      </c>
      <c r="AA78" s="48">
        <v>0</v>
      </c>
      <c r="AB78" s="48">
        <v>31967.41</v>
      </c>
      <c r="AC78" s="48">
        <v>19980.14</v>
      </c>
      <c r="AD78" s="48">
        <v>0</v>
      </c>
      <c r="AE78" s="48">
        <v>0</v>
      </c>
      <c r="AF78" s="48">
        <v>7313.74</v>
      </c>
      <c r="AG78" s="48">
        <v>626350.82999999996</v>
      </c>
      <c r="AH78" s="48">
        <v>0</v>
      </c>
      <c r="AI78" s="48">
        <v>0</v>
      </c>
      <c r="AJ78" s="48">
        <v>0</v>
      </c>
      <c r="AK78" s="48">
        <v>0</v>
      </c>
      <c r="AL78" s="48">
        <v>1826.88</v>
      </c>
      <c r="AM78" s="48">
        <v>6260</v>
      </c>
      <c r="AN78" s="48">
        <v>57983.33</v>
      </c>
      <c r="AO78" s="48">
        <v>854041.88</v>
      </c>
      <c r="AP78" s="48">
        <v>0</v>
      </c>
      <c r="AQ78" s="48">
        <v>225498.21</v>
      </c>
      <c r="AR78" s="48">
        <v>28075.86</v>
      </c>
      <c r="AS78" s="48">
        <v>88565.89</v>
      </c>
      <c r="AT78" s="48">
        <v>0</v>
      </c>
      <c r="AU78" s="48">
        <v>2586.85</v>
      </c>
      <c r="AV78" s="48">
        <v>6207.33</v>
      </c>
      <c r="AW78" s="48">
        <v>2158.0300000000002</v>
      </c>
      <c r="AX78" s="48">
        <v>308.32</v>
      </c>
      <c r="AY78" s="48">
        <v>0</v>
      </c>
      <c r="AZ78" s="48">
        <v>36301.199999999997</v>
      </c>
      <c r="BA78" s="48">
        <v>27.03</v>
      </c>
      <c r="BB78" s="48">
        <v>29751.63</v>
      </c>
      <c r="BC78" s="48">
        <v>4575.28</v>
      </c>
      <c r="BD78" s="48">
        <v>25670.959999999999</v>
      </c>
      <c r="BE78" s="48">
        <v>7714</v>
      </c>
      <c r="BF78" s="48">
        <v>65641.84</v>
      </c>
      <c r="BG78" s="48">
        <v>55424.74</v>
      </c>
      <c r="BH78" s="48">
        <v>11232.25</v>
      </c>
      <c r="BI78" s="48">
        <v>0</v>
      </c>
      <c r="BJ78" s="48">
        <v>15972.39</v>
      </c>
      <c r="BK78" s="48">
        <v>19364.11</v>
      </c>
      <c r="BL78" s="48">
        <v>44.14</v>
      </c>
      <c r="BM78" s="48">
        <v>60851.08</v>
      </c>
      <c r="BN78" s="48">
        <v>34918.160000000003</v>
      </c>
      <c r="BO78" s="48">
        <v>16990.48</v>
      </c>
      <c r="BP78" s="48">
        <v>26892.41</v>
      </c>
      <c r="BQ78" s="48">
        <v>0</v>
      </c>
      <c r="BR78" s="48">
        <v>0</v>
      </c>
      <c r="BS78" s="48">
        <v>0</v>
      </c>
      <c r="BT78" s="48">
        <v>0</v>
      </c>
      <c r="BU78" s="48">
        <v>0</v>
      </c>
      <c r="BV78" s="48">
        <v>0</v>
      </c>
      <c r="BW78" s="48">
        <v>0</v>
      </c>
      <c r="BX78" s="48">
        <v>0</v>
      </c>
      <c r="BY78" s="48">
        <v>1</v>
      </c>
      <c r="BZ78" s="48">
        <v>0</v>
      </c>
      <c r="CA78" s="453">
        <v>0</v>
      </c>
      <c r="CB78" s="454"/>
      <c r="CC78" s="48">
        <v>0</v>
      </c>
      <c r="CD78" s="48">
        <v>0</v>
      </c>
      <c r="CE78" s="48">
        <v>102755</v>
      </c>
      <c r="CF78" s="48">
        <v>0</v>
      </c>
      <c r="CG78" s="48">
        <v>0</v>
      </c>
      <c r="CH78" s="48">
        <v>0</v>
      </c>
      <c r="CI78" s="48">
        <v>0</v>
      </c>
      <c r="CJ78" s="49">
        <v>0</v>
      </c>
      <c r="CK78" s="50">
        <f t="shared" si="2"/>
        <v>102755</v>
      </c>
      <c r="CL78" s="50">
        <f t="shared" si="3"/>
        <v>0</v>
      </c>
    </row>
    <row r="79" spans="1:90" ht="25.5">
      <c r="A79" s="48">
        <v>302</v>
      </c>
      <c r="B79" s="48">
        <v>4003</v>
      </c>
      <c r="C79" s="48" t="s">
        <v>113</v>
      </c>
      <c r="D79" s="48" t="s">
        <v>441</v>
      </c>
      <c r="E79" s="48"/>
      <c r="F79" s="48" t="s">
        <v>435</v>
      </c>
      <c r="G79" s="48">
        <v>0</v>
      </c>
      <c r="H79" s="48">
        <v>0</v>
      </c>
      <c r="I79" s="48" t="s">
        <v>436</v>
      </c>
      <c r="J79" s="48" t="s">
        <v>437</v>
      </c>
      <c r="K79" s="48" t="s">
        <v>438</v>
      </c>
      <c r="L79" s="48" t="s">
        <v>439</v>
      </c>
      <c r="M79" s="48" t="s">
        <v>438</v>
      </c>
      <c r="N79" s="48" t="s">
        <v>440</v>
      </c>
      <c r="O79" s="48" t="s">
        <v>181</v>
      </c>
      <c r="P79" s="48" t="s">
        <v>181</v>
      </c>
      <c r="Q79" s="48">
        <v>246879.14</v>
      </c>
      <c r="R79" s="48">
        <v>0</v>
      </c>
      <c r="S79" s="48">
        <v>31538</v>
      </c>
      <c r="T79" s="48">
        <v>5132965</v>
      </c>
      <c r="U79" s="48">
        <v>0</v>
      </c>
      <c r="V79" s="48">
        <v>255950.44</v>
      </c>
      <c r="W79" s="48">
        <v>0</v>
      </c>
      <c r="X79" s="48">
        <v>319141.56</v>
      </c>
      <c r="Y79" s="48">
        <v>95900</v>
      </c>
      <c r="Z79" s="48">
        <v>2000</v>
      </c>
      <c r="AA79" s="48">
        <v>16360.64</v>
      </c>
      <c r="AB79" s="48">
        <v>537.83000000000004</v>
      </c>
      <c r="AC79" s="48">
        <v>118173.96</v>
      </c>
      <c r="AD79" s="48">
        <v>0</v>
      </c>
      <c r="AE79" s="48">
        <v>18357.009999999998</v>
      </c>
      <c r="AF79" s="48">
        <v>24855.95</v>
      </c>
      <c r="AG79" s="48">
        <v>6893.06</v>
      </c>
      <c r="AH79" s="48">
        <v>0</v>
      </c>
      <c r="AI79" s="48">
        <v>0</v>
      </c>
      <c r="AJ79" s="48">
        <v>0</v>
      </c>
      <c r="AK79" s="48">
        <v>22207.5</v>
      </c>
      <c r="AL79" s="48">
        <v>45130</v>
      </c>
      <c r="AM79" s="48">
        <v>47966.5</v>
      </c>
      <c r="AN79" s="48">
        <v>0</v>
      </c>
      <c r="AO79" s="48">
        <v>3530873.74</v>
      </c>
      <c r="AP79" s="48">
        <v>0</v>
      </c>
      <c r="AQ79" s="48">
        <v>845483.94</v>
      </c>
      <c r="AR79" s="48">
        <v>92619.29</v>
      </c>
      <c r="AS79" s="48">
        <v>441487.87</v>
      </c>
      <c r="AT79" s="48">
        <v>0</v>
      </c>
      <c r="AU79" s="48">
        <v>44655.66</v>
      </c>
      <c r="AV79" s="48">
        <v>41369.06</v>
      </c>
      <c r="AW79" s="48">
        <v>8089.73</v>
      </c>
      <c r="AX79" s="48">
        <v>1117.2</v>
      </c>
      <c r="AY79" s="48">
        <v>0</v>
      </c>
      <c r="AZ79" s="48">
        <v>75829.52</v>
      </c>
      <c r="BA79" s="48">
        <v>11535.32</v>
      </c>
      <c r="BB79" s="48">
        <v>79793.600000000006</v>
      </c>
      <c r="BC79" s="48">
        <v>4154.6899999999996</v>
      </c>
      <c r="BD79" s="48">
        <v>74679.039999999994</v>
      </c>
      <c r="BE79" s="48">
        <v>60648</v>
      </c>
      <c r="BF79" s="48">
        <v>38950.85</v>
      </c>
      <c r="BG79" s="48">
        <v>117001.7</v>
      </c>
      <c r="BH79" s="48">
        <v>93125.54</v>
      </c>
      <c r="BI79" s="48">
        <v>41858.36</v>
      </c>
      <c r="BJ79" s="48">
        <v>21662.09</v>
      </c>
      <c r="BK79" s="48">
        <v>14309.9</v>
      </c>
      <c r="BL79" s="48">
        <v>0</v>
      </c>
      <c r="BM79" s="48">
        <v>177899.38</v>
      </c>
      <c r="BN79" s="48">
        <v>135266.71</v>
      </c>
      <c r="BO79" s="48">
        <v>82895.98</v>
      </c>
      <c r="BP79" s="48">
        <v>12337.5</v>
      </c>
      <c r="BQ79" s="48">
        <v>0</v>
      </c>
      <c r="BR79" s="48">
        <v>0</v>
      </c>
      <c r="BS79" s="48">
        <v>132000</v>
      </c>
      <c r="BT79" s="48">
        <v>0</v>
      </c>
      <c r="BU79" s="48">
        <v>0</v>
      </c>
      <c r="BV79" s="48">
        <v>17289.060000000001</v>
      </c>
      <c r="BW79" s="48">
        <v>0</v>
      </c>
      <c r="BX79" s="48">
        <v>132000</v>
      </c>
      <c r="BY79" s="48">
        <v>1</v>
      </c>
      <c r="BZ79" s="48">
        <v>0</v>
      </c>
      <c r="CA79" s="453">
        <v>169694.78</v>
      </c>
      <c r="CB79" s="454"/>
      <c r="CC79" s="48">
        <v>0</v>
      </c>
      <c r="CD79" s="48">
        <v>6090</v>
      </c>
      <c r="CE79" s="48">
        <v>56562</v>
      </c>
      <c r="CF79" s="48">
        <v>117112</v>
      </c>
      <c r="CG79" s="48">
        <v>0</v>
      </c>
      <c r="CH79" s="48">
        <v>5042</v>
      </c>
      <c r="CI79" s="48">
        <v>0</v>
      </c>
      <c r="CJ79" s="49">
        <v>0</v>
      </c>
      <c r="CK79" s="50">
        <f t="shared" si="2"/>
        <v>173674</v>
      </c>
      <c r="CL79" s="50">
        <f t="shared" si="3"/>
        <v>5042</v>
      </c>
    </row>
    <row r="80" spans="1:90" ht="25.5">
      <c r="A80" s="48">
        <v>302</v>
      </c>
      <c r="B80" s="48">
        <v>4004</v>
      </c>
      <c r="C80" s="48" t="s">
        <v>469</v>
      </c>
      <c r="D80" s="48" t="s">
        <v>441</v>
      </c>
      <c r="E80" s="48"/>
      <c r="F80" s="48" t="s">
        <v>435</v>
      </c>
      <c r="G80" s="48">
        <v>0</v>
      </c>
      <c r="H80" s="48">
        <v>0</v>
      </c>
      <c r="I80" s="48" t="s">
        <v>436</v>
      </c>
      <c r="J80" s="48" t="s">
        <v>437</v>
      </c>
      <c r="K80" s="48" t="s">
        <v>438</v>
      </c>
      <c r="L80" s="48" t="s">
        <v>439</v>
      </c>
      <c r="M80" s="48" t="s">
        <v>438</v>
      </c>
      <c r="N80" s="48" t="s">
        <v>440</v>
      </c>
      <c r="O80" s="48" t="s">
        <v>181</v>
      </c>
      <c r="P80" s="48" t="s">
        <v>181</v>
      </c>
      <c r="Q80" s="48">
        <v>31471</v>
      </c>
      <c r="R80" s="48">
        <v>0</v>
      </c>
      <c r="S80" s="48">
        <v>0</v>
      </c>
      <c r="T80" s="48">
        <v>1657727.7</v>
      </c>
      <c r="U80" s="48">
        <v>390291</v>
      </c>
      <c r="V80" s="48">
        <v>90722.4</v>
      </c>
      <c r="W80" s="48">
        <v>0</v>
      </c>
      <c r="X80" s="48">
        <v>15279.96</v>
      </c>
      <c r="Y80" s="48">
        <v>128368.31</v>
      </c>
      <c r="Z80" s="48">
        <v>1400</v>
      </c>
      <c r="AA80" s="48">
        <v>0</v>
      </c>
      <c r="AB80" s="48">
        <v>0</v>
      </c>
      <c r="AC80" s="48">
        <v>0</v>
      </c>
      <c r="AD80" s="48">
        <v>0</v>
      </c>
      <c r="AE80" s="48">
        <v>0</v>
      </c>
      <c r="AF80" s="48">
        <v>0</v>
      </c>
      <c r="AG80" s="48">
        <v>522000</v>
      </c>
      <c r="AH80" s="48">
        <v>0</v>
      </c>
      <c r="AI80" s="48">
        <v>0</v>
      </c>
      <c r="AJ80" s="48">
        <v>0</v>
      </c>
      <c r="AK80" s="48">
        <v>0</v>
      </c>
      <c r="AL80" s="48">
        <v>38220</v>
      </c>
      <c r="AM80" s="48">
        <v>13441.26</v>
      </c>
      <c r="AN80" s="48">
        <v>0</v>
      </c>
      <c r="AO80" s="48">
        <v>1844675.95</v>
      </c>
      <c r="AP80" s="48">
        <v>0</v>
      </c>
      <c r="AQ80" s="48">
        <v>151903.54999999999</v>
      </c>
      <c r="AR80" s="48">
        <v>45920.18</v>
      </c>
      <c r="AS80" s="48">
        <v>197598.21</v>
      </c>
      <c r="AT80" s="48">
        <v>0</v>
      </c>
      <c r="AU80" s="48">
        <v>0</v>
      </c>
      <c r="AV80" s="48">
        <v>3755.25</v>
      </c>
      <c r="AW80" s="48">
        <v>5308</v>
      </c>
      <c r="AX80" s="48">
        <v>408.66</v>
      </c>
      <c r="AY80" s="48">
        <v>0</v>
      </c>
      <c r="AZ80" s="48">
        <v>170947.83</v>
      </c>
      <c r="BA80" s="48">
        <v>0</v>
      </c>
      <c r="BB80" s="48">
        <v>42088.79</v>
      </c>
      <c r="BC80" s="48">
        <v>307.58999999999997</v>
      </c>
      <c r="BD80" s="48">
        <v>14533.22</v>
      </c>
      <c r="BE80" s="48">
        <v>7168</v>
      </c>
      <c r="BF80" s="48">
        <v>93340.88</v>
      </c>
      <c r="BG80" s="48">
        <v>45686.39</v>
      </c>
      <c r="BH80" s="48">
        <v>22200.32</v>
      </c>
      <c r="BI80" s="48">
        <v>32728.95</v>
      </c>
      <c r="BJ80" s="48">
        <v>49105</v>
      </c>
      <c r="BK80" s="48">
        <v>9123.76</v>
      </c>
      <c r="BL80" s="48">
        <v>0</v>
      </c>
      <c r="BM80" s="48">
        <v>2749.5</v>
      </c>
      <c r="BN80" s="48">
        <v>0</v>
      </c>
      <c r="BO80" s="48">
        <v>27780.28</v>
      </c>
      <c r="BP80" s="48">
        <v>51395</v>
      </c>
      <c r="BQ80" s="48">
        <v>0</v>
      </c>
      <c r="BR80" s="48">
        <v>0</v>
      </c>
      <c r="BS80" s="48">
        <v>12453</v>
      </c>
      <c r="BT80" s="48">
        <v>0</v>
      </c>
      <c r="BU80" s="48">
        <v>0</v>
      </c>
      <c r="BV80" s="48">
        <v>0</v>
      </c>
      <c r="BW80" s="48">
        <v>0</v>
      </c>
      <c r="BX80" s="48">
        <v>12453</v>
      </c>
      <c r="BY80" s="48">
        <v>1</v>
      </c>
      <c r="BZ80" s="48">
        <v>0</v>
      </c>
      <c r="CA80" s="453">
        <v>0</v>
      </c>
      <c r="CB80" s="454"/>
      <c r="CC80" s="48">
        <v>0</v>
      </c>
      <c r="CD80" s="48">
        <v>12453</v>
      </c>
      <c r="CE80" s="48">
        <v>37000</v>
      </c>
      <c r="CF80" s="48">
        <v>20743</v>
      </c>
      <c r="CG80" s="48">
        <v>0</v>
      </c>
      <c r="CH80" s="48">
        <v>0</v>
      </c>
      <c r="CI80" s="48">
        <v>0</v>
      </c>
      <c r="CJ80" s="49">
        <v>0</v>
      </c>
      <c r="CK80" s="50">
        <f t="shared" si="2"/>
        <v>57743</v>
      </c>
      <c r="CL80" s="50">
        <f t="shared" si="3"/>
        <v>0</v>
      </c>
    </row>
    <row r="81" spans="1:90">
      <c r="A81" s="48">
        <v>302</v>
      </c>
      <c r="B81" s="48">
        <v>5201</v>
      </c>
      <c r="C81" s="48" t="s">
        <v>80</v>
      </c>
      <c r="D81" s="48" t="s">
        <v>441</v>
      </c>
      <c r="E81" s="48"/>
      <c r="F81" s="48" t="s">
        <v>435</v>
      </c>
      <c r="G81" s="48">
        <v>0</v>
      </c>
      <c r="H81" s="48">
        <v>0</v>
      </c>
      <c r="I81" s="48" t="s">
        <v>436</v>
      </c>
      <c r="J81" s="48" t="s">
        <v>437</v>
      </c>
      <c r="K81" s="48" t="s">
        <v>438</v>
      </c>
      <c r="L81" s="48" t="s">
        <v>439</v>
      </c>
      <c r="M81" s="48" t="s">
        <v>438</v>
      </c>
      <c r="N81" s="48" t="s">
        <v>440</v>
      </c>
      <c r="O81" s="48" t="s">
        <v>181</v>
      </c>
      <c r="P81" s="48" t="s">
        <v>181</v>
      </c>
      <c r="Q81" s="48">
        <v>300149.23</v>
      </c>
      <c r="R81" s="48">
        <v>0</v>
      </c>
      <c r="S81" s="48">
        <v>8387.5</v>
      </c>
      <c r="T81" s="48">
        <v>1819333.51</v>
      </c>
      <c r="U81" s="48">
        <v>0</v>
      </c>
      <c r="V81" s="48">
        <v>144818.64000000001</v>
      </c>
      <c r="W81" s="48">
        <v>0</v>
      </c>
      <c r="X81" s="48">
        <v>107255.03999999999</v>
      </c>
      <c r="Y81" s="48">
        <v>5663.6</v>
      </c>
      <c r="Z81" s="48">
        <v>0</v>
      </c>
      <c r="AA81" s="48">
        <v>6364.63</v>
      </c>
      <c r="AB81" s="48">
        <v>28198.38</v>
      </c>
      <c r="AC81" s="48">
        <v>41082.550000000003</v>
      </c>
      <c r="AD81" s="48">
        <v>0</v>
      </c>
      <c r="AE81" s="48">
        <v>0</v>
      </c>
      <c r="AF81" s="48">
        <v>25412.65</v>
      </c>
      <c r="AG81" s="48">
        <v>1402.82</v>
      </c>
      <c r="AH81" s="48">
        <v>0</v>
      </c>
      <c r="AI81" s="48">
        <v>0</v>
      </c>
      <c r="AJ81" s="48">
        <v>0</v>
      </c>
      <c r="AK81" s="48">
        <v>0</v>
      </c>
      <c r="AL81" s="48">
        <v>0</v>
      </c>
      <c r="AM81" s="48">
        <v>23700.62</v>
      </c>
      <c r="AN81" s="48">
        <v>67848</v>
      </c>
      <c r="AO81" s="48">
        <v>1090853.48</v>
      </c>
      <c r="AP81" s="48">
        <v>0</v>
      </c>
      <c r="AQ81" s="48">
        <v>435900.06</v>
      </c>
      <c r="AR81" s="48">
        <v>70676.56</v>
      </c>
      <c r="AS81" s="48">
        <v>129320.71</v>
      </c>
      <c r="AT81" s="48">
        <v>0</v>
      </c>
      <c r="AU81" s="48">
        <v>44812.85</v>
      </c>
      <c r="AV81" s="48">
        <v>2303.6</v>
      </c>
      <c r="AW81" s="48">
        <v>5910.33</v>
      </c>
      <c r="AX81" s="48">
        <v>646.16</v>
      </c>
      <c r="AY81" s="48">
        <v>0</v>
      </c>
      <c r="AZ81" s="48">
        <v>32121.13</v>
      </c>
      <c r="BA81" s="48">
        <v>19900.650000000001</v>
      </c>
      <c r="BB81" s="48">
        <v>27121.79</v>
      </c>
      <c r="BC81" s="48">
        <v>10430.950000000001</v>
      </c>
      <c r="BD81" s="48">
        <v>36462.86</v>
      </c>
      <c r="BE81" s="48">
        <v>7014.4</v>
      </c>
      <c r="BF81" s="48">
        <v>12276.11</v>
      </c>
      <c r="BG81" s="48">
        <v>88954.52</v>
      </c>
      <c r="BH81" s="48">
        <v>10159.59</v>
      </c>
      <c r="BI81" s="48">
        <v>0</v>
      </c>
      <c r="BJ81" s="48">
        <v>13602.43</v>
      </c>
      <c r="BK81" s="48">
        <v>12301.78</v>
      </c>
      <c r="BL81" s="48">
        <v>11034.56</v>
      </c>
      <c r="BM81" s="48">
        <v>114377.24</v>
      </c>
      <c r="BN81" s="48">
        <v>6377.5</v>
      </c>
      <c r="BO81" s="48">
        <v>72283.960000000006</v>
      </c>
      <c r="BP81" s="48">
        <v>30265.79</v>
      </c>
      <c r="BQ81" s="48">
        <v>0</v>
      </c>
      <c r="BR81" s="48">
        <v>0</v>
      </c>
      <c r="BS81" s="48">
        <v>6271</v>
      </c>
      <c r="BT81" s="48">
        <v>0</v>
      </c>
      <c r="BU81" s="48">
        <v>0</v>
      </c>
      <c r="BV81" s="48">
        <v>8398.75</v>
      </c>
      <c r="BW81" s="48">
        <v>0</v>
      </c>
      <c r="BX81" s="48">
        <v>6271</v>
      </c>
      <c r="BY81" s="48">
        <v>1</v>
      </c>
      <c r="BZ81" s="48">
        <v>0</v>
      </c>
      <c r="CA81" s="453">
        <v>9888</v>
      </c>
      <c r="CB81" s="454"/>
      <c r="CC81" s="48">
        <v>0</v>
      </c>
      <c r="CD81" s="48">
        <v>13170</v>
      </c>
      <c r="CE81" s="48">
        <v>64357</v>
      </c>
      <c r="CF81" s="48">
        <v>215492</v>
      </c>
      <c r="CG81" s="48">
        <v>0</v>
      </c>
      <c r="CH81" s="48">
        <v>0</v>
      </c>
      <c r="CI81" s="48">
        <v>0</v>
      </c>
      <c r="CJ81" s="49">
        <v>0</v>
      </c>
      <c r="CK81" s="50">
        <f t="shared" si="2"/>
        <v>279849</v>
      </c>
      <c r="CL81" s="50">
        <f t="shared" si="3"/>
        <v>0</v>
      </c>
    </row>
    <row r="82" spans="1:90" ht="25.5">
      <c r="A82" s="48">
        <v>302</v>
      </c>
      <c r="B82" s="48">
        <v>5404</v>
      </c>
      <c r="C82" s="48" t="s">
        <v>470</v>
      </c>
      <c r="D82" s="48" t="s">
        <v>441</v>
      </c>
      <c r="E82" s="48"/>
      <c r="F82" s="48" t="s">
        <v>435</v>
      </c>
      <c r="G82" s="48">
        <v>0</v>
      </c>
      <c r="H82" s="48">
        <v>1</v>
      </c>
      <c r="I82" s="48" t="s">
        <v>436</v>
      </c>
      <c r="J82" s="48" t="s">
        <v>437</v>
      </c>
      <c r="K82" s="48" t="s">
        <v>438</v>
      </c>
      <c r="L82" s="48" t="s">
        <v>439</v>
      </c>
      <c r="M82" s="48" t="s">
        <v>438</v>
      </c>
      <c r="N82" s="48" t="s">
        <v>440</v>
      </c>
      <c r="O82" s="48" t="s">
        <v>181</v>
      </c>
      <c r="P82" s="48" t="s">
        <v>181</v>
      </c>
      <c r="Q82" s="48">
        <v>73335.199999999997</v>
      </c>
      <c r="R82" s="48">
        <v>0</v>
      </c>
      <c r="S82" s="48">
        <v>-766</v>
      </c>
      <c r="T82" s="48">
        <v>3451066</v>
      </c>
      <c r="U82" s="48">
        <v>1397084</v>
      </c>
      <c r="V82" s="48">
        <v>1762</v>
      </c>
      <c r="W82" s="48">
        <v>0</v>
      </c>
      <c r="X82" s="48">
        <v>42020</v>
      </c>
      <c r="Y82" s="48">
        <v>7458</v>
      </c>
      <c r="Z82" s="48">
        <v>0</v>
      </c>
      <c r="AA82" s="48">
        <v>0</v>
      </c>
      <c r="AB82" s="48">
        <v>14982.84</v>
      </c>
      <c r="AC82" s="48">
        <v>140861</v>
      </c>
      <c r="AD82" s="48">
        <v>0</v>
      </c>
      <c r="AE82" s="48">
        <v>0</v>
      </c>
      <c r="AF82" s="48">
        <v>19557</v>
      </c>
      <c r="AG82" s="48">
        <v>138912.64000000001</v>
      </c>
      <c r="AH82" s="48">
        <v>0</v>
      </c>
      <c r="AI82" s="48">
        <v>0</v>
      </c>
      <c r="AJ82" s="48">
        <v>0</v>
      </c>
      <c r="AK82" s="48">
        <v>21250</v>
      </c>
      <c r="AL82" s="48">
        <v>31790</v>
      </c>
      <c r="AM82" s="48">
        <v>29050.76</v>
      </c>
      <c r="AN82" s="48">
        <v>10867.05</v>
      </c>
      <c r="AO82" s="48">
        <v>3272558</v>
      </c>
      <c r="AP82" s="48">
        <v>0</v>
      </c>
      <c r="AQ82" s="48">
        <v>246200</v>
      </c>
      <c r="AR82" s="48">
        <v>82952</v>
      </c>
      <c r="AS82" s="48">
        <v>347327</v>
      </c>
      <c r="AT82" s="48">
        <v>54603</v>
      </c>
      <c r="AU82" s="48">
        <v>9687</v>
      </c>
      <c r="AV82" s="48">
        <v>28511</v>
      </c>
      <c r="AW82" s="48">
        <v>12793</v>
      </c>
      <c r="AX82" s="48">
        <v>824</v>
      </c>
      <c r="AY82" s="48">
        <v>0</v>
      </c>
      <c r="AZ82" s="48">
        <v>95929</v>
      </c>
      <c r="BA82" s="48">
        <v>4812</v>
      </c>
      <c r="BB82" s="48">
        <v>74968</v>
      </c>
      <c r="BC82" s="48">
        <v>27339</v>
      </c>
      <c r="BD82" s="48">
        <v>50607</v>
      </c>
      <c r="BE82" s="48">
        <v>17130</v>
      </c>
      <c r="BF82" s="48">
        <v>47120</v>
      </c>
      <c r="BG82" s="48">
        <v>139829</v>
      </c>
      <c r="BH82" s="48">
        <v>24428</v>
      </c>
      <c r="BI82" s="48">
        <v>122694</v>
      </c>
      <c r="BJ82" s="48">
        <v>37977</v>
      </c>
      <c r="BK82" s="48">
        <v>21462</v>
      </c>
      <c r="BL82" s="48">
        <v>334</v>
      </c>
      <c r="BM82" s="48">
        <v>69475</v>
      </c>
      <c r="BN82" s="48">
        <v>1902</v>
      </c>
      <c r="BO82" s="48">
        <v>71087</v>
      </c>
      <c r="BP82" s="48">
        <v>99218</v>
      </c>
      <c r="BQ82" s="48">
        <v>0</v>
      </c>
      <c r="BR82" s="48">
        <v>0</v>
      </c>
      <c r="BS82" s="48">
        <v>4443</v>
      </c>
      <c r="BT82" s="48">
        <v>0</v>
      </c>
      <c r="BU82" s="48">
        <v>0</v>
      </c>
      <c r="BV82" s="48">
        <v>0</v>
      </c>
      <c r="BW82" s="48">
        <v>-3677</v>
      </c>
      <c r="BX82" s="48">
        <v>4443</v>
      </c>
      <c r="BY82" s="48">
        <v>1</v>
      </c>
      <c r="BZ82" s="48">
        <v>0</v>
      </c>
      <c r="CA82" s="453">
        <v>0</v>
      </c>
      <c r="CB82" s="454"/>
      <c r="CC82" s="48">
        <v>0</v>
      </c>
      <c r="CD82" s="48">
        <v>0</v>
      </c>
      <c r="CE82" s="48">
        <v>160000</v>
      </c>
      <c r="CF82" s="48">
        <v>253787</v>
      </c>
      <c r="CG82" s="48">
        <v>0</v>
      </c>
      <c r="CH82" s="48">
        <v>0</v>
      </c>
      <c r="CI82" s="48">
        <v>0</v>
      </c>
      <c r="CJ82" s="49">
        <v>0</v>
      </c>
      <c r="CK82" s="50">
        <f t="shared" si="2"/>
        <v>413787</v>
      </c>
      <c r="CL82" s="50">
        <f t="shared" si="3"/>
        <v>0</v>
      </c>
    </row>
    <row r="83" spans="1:90" ht="25.5">
      <c r="A83" s="48">
        <v>302</v>
      </c>
      <c r="B83" s="48">
        <v>5405</v>
      </c>
      <c r="C83" s="48" t="s">
        <v>471</v>
      </c>
      <c r="D83" s="48" t="s">
        <v>441</v>
      </c>
      <c r="E83" s="48"/>
      <c r="F83" s="48" t="s">
        <v>435</v>
      </c>
      <c r="G83" s="48">
        <v>0</v>
      </c>
      <c r="H83" s="48">
        <v>0</v>
      </c>
      <c r="I83" s="48" t="s">
        <v>436</v>
      </c>
      <c r="J83" s="48" t="s">
        <v>437</v>
      </c>
      <c r="K83" s="48" t="s">
        <v>438</v>
      </c>
      <c r="L83" s="48" t="s">
        <v>439</v>
      </c>
      <c r="M83" s="48" t="s">
        <v>438</v>
      </c>
      <c r="N83" s="48" t="s">
        <v>440</v>
      </c>
      <c r="O83" s="48" t="s">
        <v>181</v>
      </c>
      <c r="P83" s="48" t="s">
        <v>181</v>
      </c>
      <c r="Q83" s="48">
        <v>602121.92000000004</v>
      </c>
      <c r="R83" s="48">
        <v>-4589.68</v>
      </c>
      <c r="S83" s="48">
        <v>1</v>
      </c>
      <c r="T83" s="48">
        <v>5272843.04</v>
      </c>
      <c r="U83" s="48">
        <v>1691588.03</v>
      </c>
      <c r="V83" s="48">
        <v>165665.51999999999</v>
      </c>
      <c r="W83" s="48">
        <v>0</v>
      </c>
      <c r="X83" s="48">
        <v>123125.01</v>
      </c>
      <c r="Y83" s="48">
        <v>13972.72</v>
      </c>
      <c r="Z83" s="48">
        <v>3270</v>
      </c>
      <c r="AA83" s="48">
        <v>837.4</v>
      </c>
      <c r="AB83" s="48">
        <v>56411.7</v>
      </c>
      <c r="AC83" s="48">
        <v>364580.39</v>
      </c>
      <c r="AD83" s="48">
        <v>0</v>
      </c>
      <c r="AE83" s="48">
        <v>0</v>
      </c>
      <c r="AF83" s="48">
        <v>24269.86</v>
      </c>
      <c r="AG83" s="48">
        <v>1000</v>
      </c>
      <c r="AH83" s="48">
        <v>0</v>
      </c>
      <c r="AI83" s="48">
        <v>0</v>
      </c>
      <c r="AJ83" s="48">
        <v>0</v>
      </c>
      <c r="AK83" s="48">
        <v>0</v>
      </c>
      <c r="AL83" s="48">
        <v>43180</v>
      </c>
      <c r="AM83" s="48">
        <v>48095.62</v>
      </c>
      <c r="AN83" s="48">
        <v>0</v>
      </c>
      <c r="AO83" s="48">
        <v>4618991.4800000004</v>
      </c>
      <c r="AP83" s="48">
        <v>320</v>
      </c>
      <c r="AQ83" s="48">
        <v>655315.55000000005</v>
      </c>
      <c r="AR83" s="48">
        <v>101741.04</v>
      </c>
      <c r="AS83" s="48">
        <v>581126.22</v>
      </c>
      <c r="AT83" s="48">
        <v>162734.39999999999</v>
      </c>
      <c r="AU83" s="48">
        <v>0</v>
      </c>
      <c r="AV83" s="48">
        <v>22058.79</v>
      </c>
      <c r="AW83" s="48">
        <v>14580.21</v>
      </c>
      <c r="AX83" s="48">
        <v>1300.95</v>
      </c>
      <c r="AY83" s="48">
        <v>0</v>
      </c>
      <c r="AZ83" s="48">
        <v>85190.81</v>
      </c>
      <c r="BA83" s="48">
        <v>39291.82</v>
      </c>
      <c r="BB83" s="48">
        <v>103330.97</v>
      </c>
      <c r="BC83" s="48">
        <v>12277.14</v>
      </c>
      <c r="BD83" s="48">
        <v>136547.49</v>
      </c>
      <c r="BE83" s="48">
        <v>25599.49</v>
      </c>
      <c r="BF83" s="48">
        <v>38137.06</v>
      </c>
      <c r="BG83" s="48">
        <v>155337.37</v>
      </c>
      <c r="BH83" s="48">
        <v>73213.72</v>
      </c>
      <c r="BI83" s="48">
        <v>112123.91</v>
      </c>
      <c r="BJ83" s="48">
        <v>30704.04</v>
      </c>
      <c r="BK83" s="48">
        <v>53772.3</v>
      </c>
      <c r="BL83" s="48">
        <v>0</v>
      </c>
      <c r="BM83" s="48">
        <v>233456.89</v>
      </c>
      <c r="BN83" s="48">
        <v>135312.65</v>
      </c>
      <c r="BO83" s="48">
        <v>108638.1</v>
      </c>
      <c r="BP83" s="48">
        <v>57542.53</v>
      </c>
      <c r="BQ83" s="48">
        <v>0</v>
      </c>
      <c r="BR83" s="48">
        <v>0</v>
      </c>
      <c r="BS83" s="48">
        <v>24999.5</v>
      </c>
      <c r="BT83" s="48">
        <v>0</v>
      </c>
      <c r="BU83" s="48">
        <v>0</v>
      </c>
      <c r="BV83" s="48">
        <v>0</v>
      </c>
      <c r="BW83" s="48">
        <v>0</v>
      </c>
      <c r="BX83" s="48">
        <v>24999.5</v>
      </c>
      <c r="BY83" s="48">
        <v>1</v>
      </c>
      <c r="BZ83" s="48">
        <v>0</v>
      </c>
      <c r="CA83" s="453">
        <v>0</v>
      </c>
      <c r="CB83" s="454"/>
      <c r="CC83" s="48">
        <v>0</v>
      </c>
      <c r="CD83" s="48">
        <v>24999.5</v>
      </c>
      <c r="CE83" s="48">
        <v>57754</v>
      </c>
      <c r="CF83" s="48">
        <v>769563</v>
      </c>
      <c r="CG83" s="48">
        <v>0</v>
      </c>
      <c r="CH83" s="48">
        <v>0</v>
      </c>
      <c r="CI83" s="48">
        <v>-4590</v>
      </c>
      <c r="CJ83" s="49">
        <v>0</v>
      </c>
      <c r="CK83" s="50">
        <f t="shared" si="2"/>
        <v>822727</v>
      </c>
      <c r="CL83" s="50">
        <f t="shared" si="3"/>
        <v>0</v>
      </c>
    </row>
    <row r="84" spans="1:90" ht="25.5">
      <c r="A84" s="48">
        <v>302</v>
      </c>
      <c r="B84" s="48">
        <v>5407</v>
      </c>
      <c r="C84" s="48" t="s">
        <v>472</v>
      </c>
      <c r="D84" s="48" t="s">
        <v>441</v>
      </c>
      <c r="E84" s="48"/>
      <c r="F84" s="48" t="s">
        <v>435</v>
      </c>
      <c r="G84" s="48">
        <v>0</v>
      </c>
      <c r="H84" s="48">
        <v>0</v>
      </c>
      <c r="I84" s="48" t="s">
        <v>436</v>
      </c>
      <c r="J84" s="48" t="s">
        <v>437</v>
      </c>
      <c r="K84" s="48" t="s">
        <v>438</v>
      </c>
      <c r="L84" s="48" t="s">
        <v>439</v>
      </c>
      <c r="M84" s="48" t="s">
        <v>438</v>
      </c>
      <c r="N84" s="48" t="s">
        <v>440</v>
      </c>
      <c r="O84" s="48" t="s">
        <v>181</v>
      </c>
      <c r="P84" s="48" t="s">
        <v>181</v>
      </c>
      <c r="Q84" s="48">
        <v>46808.56</v>
      </c>
      <c r="R84" s="48">
        <v>0</v>
      </c>
      <c r="S84" s="48">
        <v>0</v>
      </c>
      <c r="T84" s="48">
        <v>6619110.5899999999</v>
      </c>
      <c r="U84" s="48">
        <v>1064718.01</v>
      </c>
      <c r="V84" s="48">
        <v>418982.69</v>
      </c>
      <c r="W84" s="48">
        <v>0</v>
      </c>
      <c r="X84" s="48">
        <v>294455.03000000003</v>
      </c>
      <c r="Y84" s="48">
        <v>0</v>
      </c>
      <c r="Z84" s="48">
        <v>0</v>
      </c>
      <c r="AA84" s="48">
        <v>102.48</v>
      </c>
      <c r="AB84" s="48">
        <v>0</v>
      </c>
      <c r="AC84" s="48">
        <v>0</v>
      </c>
      <c r="AD84" s="48">
        <v>0</v>
      </c>
      <c r="AE84" s="48">
        <v>0</v>
      </c>
      <c r="AF84" s="48">
        <v>86355.32</v>
      </c>
      <c r="AG84" s="48">
        <v>40216.79</v>
      </c>
      <c r="AH84" s="48">
        <v>0</v>
      </c>
      <c r="AI84" s="48">
        <v>0</v>
      </c>
      <c r="AJ84" s="48">
        <v>0</v>
      </c>
      <c r="AK84" s="48">
        <v>18316.560000000001</v>
      </c>
      <c r="AL84" s="48">
        <v>0</v>
      </c>
      <c r="AM84" s="48">
        <v>34030</v>
      </c>
      <c r="AN84" s="48">
        <v>101669.37</v>
      </c>
      <c r="AO84" s="48">
        <v>4905763.1399999997</v>
      </c>
      <c r="AP84" s="48">
        <v>0</v>
      </c>
      <c r="AQ84" s="48">
        <v>892312.79</v>
      </c>
      <c r="AR84" s="48">
        <v>131734.26</v>
      </c>
      <c r="AS84" s="48">
        <v>455088.74</v>
      </c>
      <c r="AT84" s="48">
        <v>0</v>
      </c>
      <c r="AU84" s="48">
        <v>52182.28</v>
      </c>
      <c r="AV84" s="48">
        <v>141515.66</v>
      </c>
      <c r="AW84" s="48">
        <v>17491.900000000001</v>
      </c>
      <c r="AX84" s="48">
        <v>1553.18</v>
      </c>
      <c r="AY84" s="48">
        <v>4881.6400000000003</v>
      </c>
      <c r="AZ84" s="48">
        <v>130112.22</v>
      </c>
      <c r="BA84" s="48">
        <v>6489.45</v>
      </c>
      <c r="BB84" s="48">
        <v>154909.64000000001</v>
      </c>
      <c r="BC84" s="48">
        <v>3969.21</v>
      </c>
      <c r="BD84" s="48">
        <v>219299.02</v>
      </c>
      <c r="BE84" s="48">
        <v>36442</v>
      </c>
      <c r="BF84" s="48">
        <v>44743.03</v>
      </c>
      <c r="BG84" s="48">
        <v>211913.65</v>
      </c>
      <c r="BH84" s="48">
        <v>95702.77</v>
      </c>
      <c r="BI84" s="48">
        <v>103150.73</v>
      </c>
      <c r="BJ84" s="48">
        <v>105292.06</v>
      </c>
      <c r="BK84" s="48">
        <v>45458.11</v>
      </c>
      <c r="BL84" s="48">
        <v>0</v>
      </c>
      <c r="BM84" s="48">
        <v>115960.58</v>
      </c>
      <c r="BN84" s="48">
        <v>83485.83</v>
      </c>
      <c r="BO84" s="48">
        <v>377275.35</v>
      </c>
      <c r="BP84" s="48">
        <v>106141.94</v>
      </c>
      <c r="BQ84" s="48">
        <v>0</v>
      </c>
      <c r="BR84" s="48">
        <v>0</v>
      </c>
      <c r="BS84" s="48">
        <v>6800</v>
      </c>
      <c r="BT84" s="48">
        <v>0</v>
      </c>
      <c r="BU84" s="48">
        <v>0</v>
      </c>
      <c r="BV84" s="48">
        <v>6800</v>
      </c>
      <c r="BW84" s="48">
        <v>0</v>
      </c>
      <c r="BX84" s="48">
        <v>0</v>
      </c>
      <c r="BY84" s="48">
        <v>1</v>
      </c>
      <c r="BZ84" s="48">
        <v>0</v>
      </c>
      <c r="CA84" s="453">
        <v>0</v>
      </c>
      <c r="CB84" s="454"/>
      <c r="CC84" s="48">
        <v>0</v>
      </c>
      <c r="CD84" s="48">
        <v>6799.6</v>
      </c>
      <c r="CE84" s="48">
        <v>0</v>
      </c>
      <c r="CF84" s="48">
        <v>275097</v>
      </c>
      <c r="CG84" s="48">
        <v>0</v>
      </c>
      <c r="CH84" s="48">
        <v>0</v>
      </c>
      <c r="CI84" s="48">
        <v>0</v>
      </c>
      <c r="CJ84" s="49">
        <v>0</v>
      </c>
      <c r="CK84" s="50">
        <f t="shared" si="2"/>
        <v>275097</v>
      </c>
      <c r="CL84" s="50">
        <f t="shared" si="3"/>
        <v>0</v>
      </c>
    </row>
    <row r="85" spans="1:90">
      <c r="A85" s="48">
        <v>302</v>
      </c>
      <c r="B85" s="48">
        <v>5427</v>
      </c>
      <c r="C85" s="48" t="s">
        <v>122</v>
      </c>
      <c r="D85" s="48" t="s">
        <v>441</v>
      </c>
      <c r="E85" s="48"/>
      <c r="F85" s="48" t="s">
        <v>435</v>
      </c>
      <c r="G85" s="48">
        <v>0</v>
      </c>
      <c r="H85" s="48">
        <v>2</v>
      </c>
      <c r="I85" s="48" t="s">
        <v>436</v>
      </c>
      <c r="J85" s="48" t="s">
        <v>437</v>
      </c>
      <c r="K85" s="48" t="s">
        <v>438</v>
      </c>
      <c r="L85" s="48" t="s">
        <v>439</v>
      </c>
      <c r="M85" s="48" t="s">
        <v>438</v>
      </c>
      <c r="N85" s="48" t="s">
        <v>440</v>
      </c>
      <c r="O85" s="48" t="s">
        <v>181</v>
      </c>
      <c r="P85" s="48" t="s">
        <v>181</v>
      </c>
      <c r="Q85" s="48">
        <v>91021.7</v>
      </c>
      <c r="R85" s="48">
        <v>0</v>
      </c>
      <c r="S85" s="48">
        <v>0</v>
      </c>
      <c r="T85" s="48">
        <v>6989165.4199999999</v>
      </c>
      <c r="U85" s="48">
        <v>1577555</v>
      </c>
      <c r="V85" s="48">
        <v>1439453.48</v>
      </c>
      <c r="W85" s="48">
        <v>0</v>
      </c>
      <c r="X85" s="48">
        <v>65524.85</v>
      </c>
      <c r="Y85" s="48">
        <v>369189.62</v>
      </c>
      <c r="Z85" s="48">
        <v>0</v>
      </c>
      <c r="AA85" s="48">
        <v>12610</v>
      </c>
      <c r="AB85" s="48">
        <v>0</v>
      </c>
      <c r="AC85" s="48">
        <v>77000</v>
      </c>
      <c r="AD85" s="48">
        <v>9022</v>
      </c>
      <c r="AE85" s="48">
        <v>0</v>
      </c>
      <c r="AF85" s="48">
        <v>1093919.74</v>
      </c>
      <c r="AG85" s="48">
        <v>1713630</v>
      </c>
      <c r="AH85" s="48">
        <v>0</v>
      </c>
      <c r="AI85" s="48">
        <v>0</v>
      </c>
      <c r="AJ85" s="48">
        <v>0</v>
      </c>
      <c r="AK85" s="48">
        <v>0</v>
      </c>
      <c r="AL85" s="48">
        <v>0</v>
      </c>
      <c r="AM85" s="48">
        <v>0</v>
      </c>
      <c r="AN85" s="48">
        <v>112455</v>
      </c>
      <c r="AO85" s="48">
        <v>6925790</v>
      </c>
      <c r="AP85" s="48">
        <v>86765.45</v>
      </c>
      <c r="AQ85" s="48">
        <v>1816863.61</v>
      </c>
      <c r="AR85" s="48">
        <v>159251</v>
      </c>
      <c r="AS85" s="48">
        <v>843911</v>
      </c>
      <c r="AT85" s="48">
        <v>0</v>
      </c>
      <c r="AU85" s="48">
        <v>87893</v>
      </c>
      <c r="AV85" s="48">
        <v>131976</v>
      </c>
      <c r="AW85" s="48">
        <v>27147</v>
      </c>
      <c r="AX85" s="48">
        <v>48620.67</v>
      </c>
      <c r="AY85" s="48">
        <v>0</v>
      </c>
      <c r="AZ85" s="48">
        <v>237923.13</v>
      </c>
      <c r="BA85" s="48">
        <v>25445.13</v>
      </c>
      <c r="BB85" s="48">
        <v>161532</v>
      </c>
      <c r="BC85" s="48">
        <v>25295.68</v>
      </c>
      <c r="BD85" s="48">
        <v>206478</v>
      </c>
      <c r="BE85" s="48">
        <v>60523.79</v>
      </c>
      <c r="BF85" s="48">
        <v>347156.66</v>
      </c>
      <c r="BG85" s="48">
        <v>368709</v>
      </c>
      <c r="BH85" s="48">
        <v>160751.24</v>
      </c>
      <c r="BI85" s="48">
        <v>122268</v>
      </c>
      <c r="BJ85" s="48">
        <v>37637</v>
      </c>
      <c r="BK85" s="48">
        <v>80258.92</v>
      </c>
      <c r="BL85" s="48">
        <v>0</v>
      </c>
      <c r="BM85" s="48">
        <v>46570.86</v>
      </c>
      <c r="BN85" s="48">
        <v>132995.93</v>
      </c>
      <c r="BO85" s="48">
        <v>615821.84</v>
      </c>
      <c r="BP85" s="48">
        <v>766955.01</v>
      </c>
      <c r="BQ85" s="48">
        <v>0</v>
      </c>
      <c r="BR85" s="48">
        <v>0</v>
      </c>
      <c r="BS85" s="48">
        <v>0</v>
      </c>
      <c r="BT85" s="48">
        <v>0</v>
      </c>
      <c r="BU85" s="48">
        <v>0</v>
      </c>
      <c r="BV85" s="48">
        <v>0</v>
      </c>
      <c r="BW85" s="48">
        <v>0</v>
      </c>
      <c r="BX85" s="48">
        <v>0</v>
      </c>
      <c r="BY85" s="48">
        <v>1</v>
      </c>
      <c r="BZ85" s="48">
        <v>0</v>
      </c>
      <c r="CA85" s="453">
        <v>0</v>
      </c>
      <c r="CB85" s="454"/>
      <c r="CC85" s="48">
        <v>0</v>
      </c>
      <c r="CD85" s="48">
        <v>0</v>
      </c>
      <c r="CE85" s="48">
        <v>26007</v>
      </c>
      <c r="CF85" s="48">
        <v>0</v>
      </c>
      <c r="CG85" s="48">
        <v>0</v>
      </c>
      <c r="CH85" s="48">
        <v>0</v>
      </c>
      <c r="CI85" s="48">
        <v>0</v>
      </c>
      <c r="CJ85" s="49">
        <v>0</v>
      </c>
      <c r="CK85" s="50">
        <f t="shared" si="2"/>
        <v>26007</v>
      </c>
      <c r="CL85" s="50">
        <f t="shared" si="3"/>
        <v>0</v>
      </c>
    </row>
    <row r="86" spans="1:90" ht="25.5">
      <c r="A86" s="48">
        <v>302</v>
      </c>
      <c r="B86" s="48">
        <v>5948</v>
      </c>
      <c r="C86" s="48" t="s">
        <v>473</v>
      </c>
      <c r="D86" s="48" t="s">
        <v>441</v>
      </c>
      <c r="E86" s="48"/>
      <c r="F86" s="48" t="s">
        <v>435</v>
      </c>
      <c r="G86" s="48">
        <v>0</v>
      </c>
      <c r="H86" s="48">
        <v>2</v>
      </c>
      <c r="I86" s="48" t="s">
        <v>436</v>
      </c>
      <c r="J86" s="48" t="s">
        <v>437</v>
      </c>
      <c r="K86" s="48" t="s">
        <v>438</v>
      </c>
      <c r="L86" s="48" t="s">
        <v>439</v>
      </c>
      <c r="M86" s="48" t="s">
        <v>438</v>
      </c>
      <c r="N86" s="48" t="s">
        <v>440</v>
      </c>
      <c r="O86" s="48" t="s">
        <v>181</v>
      </c>
      <c r="P86" s="48" t="s">
        <v>181</v>
      </c>
      <c r="Q86" s="48">
        <v>-122668</v>
      </c>
      <c r="R86" s="48">
        <v>0</v>
      </c>
      <c r="S86" s="48">
        <v>0</v>
      </c>
      <c r="T86" s="48">
        <v>1016824.76</v>
      </c>
      <c r="U86" s="48">
        <v>0</v>
      </c>
      <c r="V86" s="48">
        <v>17233.43</v>
      </c>
      <c r="W86" s="48">
        <v>0</v>
      </c>
      <c r="X86" s="48">
        <v>8070.03</v>
      </c>
      <c r="Y86" s="48">
        <v>58100.3</v>
      </c>
      <c r="Z86" s="48">
        <v>0</v>
      </c>
      <c r="AA86" s="48">
        <v>1261.5</v>
      </c>
      <c r="AB86" s="48">
        <v>93934</v>
      </c>
      <c r="AC86" s="48">
        <v>3545.06</v>
      </c>
      <c r="AD86" s="48">
        <v>1645.5</v>
      </c>
      <c r="AE86" s="48">
        <v>0</v>
      </c>
      <c r="AF86" s="48">
        <v>22780.73</v>
      </c>
      <c r="AG86" s="48">
        <v>307812.56</v>
      </c>
      <c r="AH86" s="48">
        <v>0</v>
      </c>
      <c r="AI86" s="48">
        <v>0</v>
      </c>
      <c r="AJ86" s="48">
        <v>0</v>
      </c>
      <c r="AK86" s="48">
        <v>0</v>
      </c>
      <c r="AL86" s="48">
        <v>0</v>
      </c>
      <c r="AM86" s="48">
        <v>0</v>
      </c>
      <c r="AN86" s="48">
        <v>63416</v>
      </c>
      <c r="AO86" s="48">
        <v>748904.87</v>
      </c>
      <c r="AP86" s="48">
        <v>0</v>
      </c>
      <c r="AQ86" s="48">
        <v>257562.38</v>
      </c>
      <c r="AR86" s="48">
        <v>-290</v>
      </c>
      <c r="AS86" s="48">
        <v>73825.119999999995</v>
      </c>
      <c r="AT86" s="48">
        <v>0</v>
      </c>
      <c r="AU86" s="48">
        <v>10915.95</v>
      </c>
      <c r="AV86" s="48">
        <v>35521.46</v>
      </c>
      <c r="AW86" s="48">
        <v>15317.47</v>
      </c>
      <c r="AX86" s="48">
        <v>342.76</v>
      </c>
      <c r="AY86" s="48">
        <v>8885.4</v>
      </c>
      <c r="AZ86" s="48">
        <v>16804.5</v>
      </c>
      <c r="BA86" s="48">
        <v>2062.5100000000002</v>
      </c>
      <c r="BB86" s="48">
        <v>53921.74</v>
      </c>
      <c r="BC86" s="48">
        <v>9757.82</v>
      </c>
      <c r="BD86" s="48">
        <v>18249.009999999998</v>
      </c>
      <c r="BE86" s="48">
        <v>14470.4</v>
      </c>
      <c r="BF86" s="48">
        <v>85137.41</v>
      </c>
      <c r="BG86" s="48">
        <v>58921.79</v>
      </c>
      <c r="BH86" s="48">
        <v>11847.74</v>
      </c>
      <c r="BI86" s="48">
        <v>0</v>
      </c>
      <c r="BJ86" s="48">
        <v>17674.759999999998</v>
      </c>
      <c r="BK86" s="48">
        <v>6166.83</v>
      </c>
      <c r="BL86" s="48">
        <v>13495.02</v>
      </c>
      <c r="BM86" s="48">
        <v>54297.279999999999</v>
      </c>
      <c r="BN86" s="48">
        <v>0</v>
      </c>
      <c r="BO86" s="48">
        <v>7016.6</v>
      </c>
      <c r="BP86" s="48">
        <v>42732.08</v>
      </c>
      <c r="BQ86" s="48">
        <v>0</v>
      </c>
      <c r="BR86" s="48">
        <v>0</v>
      </c>
      <c r="BS86" s="48">
        <v>1050</v>
      </c>
      <c r="BT86" s="48">
        <v>0</v>
      </c>
      <c r="BU86" s="48">
        <v>0</v>
      </c>
      <c r="BV86" s="48">
        <v>0</v>
      </c>
      <c r="BW86" s="48">
        <v>0</v>
      </c>
      <c r="BX86" s="48">
        <v>0</v>
      </c>
      <c r="BY86" s="48">
        <v>1</v>
      </c>
      <c r="BZ86" s="48">
        <v>0</v>
      </c>
      <c r="CA86" s="453">
        <v>0</v>
      </c>
      <c r="CB86" s="454"/>
      <c r="CC86" s="48">
        <v>0</v>
      </c>
      <c r="CD86" s="48">
        <v>0</v>
      </c>
      <c r="CE86" s="48">
        <v>0</v>
      </c>
      <c r="CF86" s="48">
        <v>-92635</v>
      </c>
      <c r="CG86" s="48">
        <v>0</v>
      </c>
      <c r="CH86" s="48">
        <v>0</v>
      </c>
      <c r="CI86" s="48">
        <v>0</v>
      </c>
      <c r="CJ86" s="49">
        <v>0</v>
      </c>
      <c r="CK86" s="50">
        <f t="shared" si="2"/>
        <v>-92635</v>
      </c>
      <c r="CL86" s="50">
        <f t="shared" si="3"/>
        <v>0</v>
      </c>
    </row>
    <row r="87" spans="1:90" ht="25.5">
      <c r="A87" s="48">
        <v>302</v>
      </c>
      <c r="B87" s="48">
        <v>5949</v>
      </c>
      <c r="C87" s="48" t="s">
        <v>474</v>
      </c>
      <c r="D87" s="48" t="s">
        <v>441</v>
      </c>
      <c r="E87" s="48"/>
      <c r="F87" s="48" t="s">
        <v>435</v>
      </c>
      <c r="G87" s="48">
        <v>0</v>
      </c>
      <c r="H87" s="48">
        <v>1</v>
      </c>
      <c r="I87" s="48" t="s">
        <v>436</v>
      </c>
      <c r="J87" s="48" t="s">
        <v>437</v>
      </c>
      <c r="K87" s="48" t="s">
        <v>438</v>
      </c>
      <c r="L87" s="48" t="s">
        <v>439</v>
      </c>
      <c r="M87" s="48" t="s">
        <v>438</v>
      </c>
      <c r="N87" s="48" t="s">
        <v>440</v>
      </c>
      <c r="O87" s="48" t="s">
        <v>181</v>
      </c>
      <c r="P87" s="48" t="s">
        <v>181</v>
      </c>
      <c r="Q87" s="48">
        <v>8974.5400000000009</v>
      </c>
      <c r="R87" s="48">
        <v>0</v>
      </c>
      <c r="S87" s="48">
        <v>0</v>
      </c>
      <c r="T87" s="48">
        <v>1829154.83</v>
      </c>
      <c r="U87" s="48">
        <v>0</v>
      </c>
      <c r="V87" s="48">
        <v>33352.1</v>
      </c>
      <c r="W87" s="48">
        <v>0</v>
      </c>
      <c r="X87" s="48">
        <v>17485.05</v>
      </c>
      <c r="Y87" s="48">
        <v>0</v>
      </c>
      <c r="Z87" s="48">
        <v>3627.41</v>
      </c>
      <c r="AA87" s="48">
        <v>0</v>
      </c>
      <c r="AB87" s="48">
        <v>3652.17</v>
      </c>
      <c r="AC87" s="48">
        <v>24595.39</v>
      </c>
      <c r="AD87" s="48">
        <v>0</v>
      </c>
      <c r="AE87" s="48">
        <v>0</v>
      </c>
      <c r="AF87" s="48">
        <v>9494.66</v>
      </c>
      <c r="AG87" s="48">
        <v>1275434.78</v>
      </c>
      <c r="AH87" s="48">
        <v>0</v>
      </c>
      <c r="AI87" s="48">
        <v>0</v>
      </c>
      <c r="AJ87" s="48">
        <v>0</v>
      </c>
      <c r="AK87" s="48">
        <v>3168.72</v>
      </c>
      <c r="AL87" s="48">
        <v>0</v>
      </c>
      <c r="AM87" s="48">
        <v>18413.2</v>
      </c>
      <c r="AN87" s="48">
        <v>86195.83</v>
      </c>
      <c r="AO87" s="48">
        <v>1138461.1399999999</v>
      </c>
      <c r="AP87" s="48">
        <v>0</v>
      </c>
      <c r="AQ87" s="48">
        <v>1250857.3600000001</v>
      </c>
      <c r="AR87" s="48">
        <v>53621.45</v>
      </c>
      <c r="AS87" s="48">
        <v>108277</v>
      </c>
      <c r="AT87" s="48">
        <v>0</v>
      </c>
      <c r="AU87" s="48">
        <v>32576.67</v>
      </c>
      <c r="AV87" s="48">
        <v>8063.83</v>
      </c>
      <c r="AW87" s="48">
        <v>21027.56</v>
      </c>
      <c r="AX87" s="48">
        <v>621.55999999999995</v>
      </c>
      <c r="AY87" s="48">
        <v>0</v>
      </c>
      <c r="AZ87" s="48">
        <v>26169.599999999999</v>
      </c>
      <c r="BA87" s="48">
        <v>0</v>
      </c>
      <c r="BB87" s="48">
        <v>70084.509999999995</v>
      </c>
      <c r="BC87" s="48">
        <v>2815.18</v>
      </c>
      <c r="BD87" s="48">
        <v>33744.22</v>
      </c>
      <c r="BE87" s="48">
        <v>32718</v>
      </c>
      <c r="BF87" s="48">
        <v>16715.36</v>
      </c>
      <c r="BG87" s="48">
        <v>98007.21</v>
      </c>
      <c r="BH87" s="48">
        <v>13044.58</v>
      </c>
      <c r="BI87" s="48">
        <v>0</v>
      </c>
      <c r="BJ87" s="48">
        <v>11231.75</v>
      </c>
      <c r="BK87" s="48">
        <v>25429.93</v>
      </c>
      <c r="BL87" s="48">
        <v>828.74</v>
      </c>
      <c r="BM87" s="48">
        <v>95393.1</v>
      </c>
      <c r="BN87" s="48">
        <v>97029.96</v>
      </c>
      <c r="BO87" s="48">
        <v>47282.17</v>
      </c>
      <c r="BP87" s="48">
        <v>131715.22</v>
      </c>
      <c r="BQ87" s="48">
        <v>0</v>
      </c>
      <c r="BR87" s="48">
        <v>0</v>
      </c>
      <c r="BS87" s="48">
        <v>0</v>
      </c>
      <c r="BT87" s="48">
        <v>0</v>
      </c>
      <c r="BU87" s="48">
        <v>0</v>
      </c>
      <c r="BV87" s="48">
        <v>0</v>
      </c>
      <c r="BW87" s="48">
        <v>0</v>
      </c>
      <c r="BX87" s="48">
        <v>0</v>
      </c>
      <c r="BY87" s="48">
        <v>1</v>
      </c>
      <c r="BZ87" s="48">
        <v>0</v>
      </c>
      <c r="CA87" s="453">
        <v>0</v>
      </c>
      <c r="CB87" s="454"/>
      <c r="CC87" s="48">
        <v>0</v>
      </c>
      <c r="CD87" s="48">
        <v>0</v>
      </c>
      <c r="CE87" s="48">
        <v>0</v>
      </c>
      <c r="CF87" s="48">
        <v>-2167</v>
      </c>
      <c r="CG87" s="48">
        <v>0</v>
      </c>
      <c r="CH87" s="48">
        <v>0</v>
      </c>
      <c r="CI87" s="48">
        <v>0</v>
      </c>
      <c r="CJ87" s="49">
        <v>0</v>
      </c>
      <c r="CK87" s="50">
        <f t="shared" si="2"/>
        <v>-2167</v>
      </c>
      <c r="CL87" s="50">
        <f t="shared" si="3"/>
        <v>0</v>
      </c>
    </row>
    <row r="88" spans="1:90" ht="25.5">
      <c r="A88" s="48">
        <v>302</v>
      </c>
      <c r="B88" s="48">
        <v>7005</v>
      </c>
      <c r="C88" s="48" t="s">
        <v>118</v>
      </c>
      <c r="D88" s="48" t="s">
        <v>441</v>
      </c>
      <c r="E88" s="48"/>
      <c r="F88" s="48" t="s">
        <v>435</v>
      </c>
      <c r="G88" s="48">
        <v>0</v>
      </c>
      <c r="H88" s="48">
        <v>0</v>
      </c>
      <c r="I88" s="48" t="s">
        <v>436</v>
      </c>
      <c r="J88" s="48" t="s">
        <v>437</v>
      </c>
      <c r="K88" s="48" t="s">
        <v>438</v>
      </c>
      <c r="L88" s="48" t="s">
        <v>439</v>
      </c>
      <c r="M88" s="48" t="s">
        <v>438</v>
      </c>
      <c r="N88" s="48" t="s">
        <v>440</v>
      </c>
      <c r="O88" s="48" t="s">
        <v>181</v>
      </c>
      <c r="P88" s="48" t="s">
        <v>181</v>
      </c>
      <c r="Q88" s="48">
        <v>621887.64</v>
      </c>
      <c r="R88" s="48">
        <v>0</v>
      </c>
      <c r="S88" s="48">
        <v>15658.25</v>
      </c>
      <c r="T88" s="48">
        <v>1331851.3700000001</v>
      </c>
      <c r="U88" s="48">
        <v>0</v>
      </c>
      <c r="V88" s="48">
        <v>1614472.62</v>
      </c>
      <c r="W88" s="48">
        <v>0</v>
      </c>
      <c r="X88" s="48">
        <v>61869.96</v>
      </c>
      <c r="Y88" s="48">
        <v>0</v>
      </c>
      <c r="Z88" s="48">
        <v>7177.34</v>
      </c>
      <c r="AA88" s="48">
        <v>21512.5</v>
      </c>
      <c r="AB88" s="48">
        <v>14315</v>
      </c>
      <c r="AC88" s="48">
        <v>8655.24</v>
      </c>
      <c r="AD88" s="48">
        <v>8280</v>
      </c>
      <c r="AE88" s="48">
        <v>2527.1999999999998</v>
      </c>
      <c r="AF88" s="48">
        <v>300</v>
      </c>
      <c r="AG88" s="48">
        <v>792.07</v>
      </c>
      <c r="AH88" s="48">
        <v>0</v>
      </c>
      <c r="AI88" s="48">
        <v>0</v>
      </c>
      <c r="AJ88" s="48">
        <v>0</v>
      </c>
      <c r="AK88" s="48">
        <v>0</v>
      </c>
      <c r="AL88" s="48">
        <v>0</v>
      </c>
      <c r="AM88" s="48">
        <v>19069.82</v>
      </c>
      <c r="AN88" s="48">
        <v>26776.5</v>
      </c>
      <c r="AO88" s="48">
        <v>1115721.1200000001</v>
      </c>
      <c r="AP88" s="48">
        <v>0</v>
      </c>
      <c r="AQ88" s="48">
        <v>1041670.17</v>
      </c>
      <c r="AR88" s="48">
        <v>26948.2</v>
      </c>
      <c r="AS88" s="48">
        <v>148097.59</v>
      </c>
      <c r="AT88" s="48">
        <v>0</v>
      </c>
      <c r="AU88" s="48">
        <v>28747.919999999998</v>
      </c>
      <c r="AV88" s="48">
        <v>17396.55</v>
      </c>
      <c r="AW88" s="48">
        <v>22111.58</v>
      </c>
      <c r="AX88" s="48">
        <v>20954.2</v>
      </c>
      <c r="AY88" s="48">
        <v>0</v>
      </c>
      <c r="AZ88" s="48">
        <v>135505.62</v>
      </c>
      <c r="BA88" s="48">
        <v>4640.55</v>
      </c>
      <c r="BB88" s="48">
        <v>31273.72</v>
      </c>
      <c r="BC88" s="48">
        <v>18.350000000000001</v>
      </c>
      <c r="BD88" s="48">
        <v>52745.75</v>
      </c>
      <c r="BE88" s="48">
        <v>0</v>
      </c>
      <c r="BF88" s="48">
        <v>8866.9</v>
      </c>
      <c r="BG88" s="48">
        <v>55786.04</v>
      </c>
      <c r="BH88" s="48">
        <v>20548.09</v>
      </c>
      <c r="BI88" s="48">
        <v>0</v>
      </c>
      <c r="BJ88" s="48">
        <v>11194.71</v>
      </c>
      <c r="BK88" s="48">
        <v>4814.2</v>
      </c>
      <c r="BL88" s="48">
        <v>675.35</v>
      </c>
      <c r="BM88" s="48">
        <v>42170.42</v>
      </c>
      <c r="BN88" s="48">
        <v>20912.2</v>
      </c>
      <c r="BO88" s="48">
        <v>370765.09</v>
      </c>
      <c r="BP88" s="48">
        <v>42725.17</v>
      </c>
      <c r="BQ88" s="48">
        <v>0</v>
      </c>
      <c r="BR88" s="48">
        <v>0</v>
      </c>
      <c r="BS88" s="48">
        <v>18673.43</v>
      </c>
      <c r="BT88" s="48">
        <v>0</v>
      </c>
      <c r="BU88" s="48">
        <v>0</v>
      </c>
      <c r="BV88" s="48">
        <v>9670</v>
      </c>
      <c r="BW88" s="48">
        <v>0</v>
      </c>
      <c r="BX88" s="48">
        <v>18673</v>
      </c>
      <c r="BY88" s="48">
        <v>1</v>
      </c>
      <c r="BZ88" s="48">
        <v>0</v>
      </c>
      <c r="CA88" s="453">
        <v>0</v>
      </c>
      <c r="CB88" s="454"/>
      <c r="CC88" s="48">
        <v>44001.43</v>
      </c>
      <c r="CD88" s="48">
        <v>0</v>
      </c>
      <c r="CE88" s="48">
        <v>9600</v>
      </c>
      <c r="CF88" s="48">
        <v>486924</v>
      </c>
      <c r="CG88" s="48">
        <v>0</v>
      </c>
      <c r="CH88" s="48">
        <v>0</v>
      </c>
      <c r="CI88" s="48">
        <v>0</v>
      </c>
      <c r="CJ88" s="49">
        <v>0</v>
      </c>
      <c r="CK88" s="50">
        <f t="shared" si="2"/>
        <v>496524</v>
      </c>
      <c r="CL88" s="50">
        <f t="shared" si="3"/>
        <v>0</v>
      </c>
    </row>
    <row r="89" spans="1:90" ht="25.5">
      <c r="A89" s="48">
        <v>302</v>
      </c>
      <c r="B89" s="48">
        <v>7009</v>
      </c>
      <c r="C89" s="48" t="s">
        <v>120</v>
      </c>
      <c r="D89" s="48" t="s">
        <v>441</v>
      </c>
      <c r="E89" s="48"/>
      <c r="F89" s="48" t="s">
        <v>435</v>
      </c>
      <c r="G89" s="48">
        <v>0</v>
      </c>
      <c r="H89" s="48">
        <v>0</v>
      </c>
      <c r="I89" s="48" t="s">
        <v>436</v>
      </c>
      <c r="J89" s="48" t="s">
        <v>437</v>
      </c>
      <c r="K89" s="48" t="s">
        <v>438</v>
      </c>
      <c r="L89" s="48" t="s">
        <v>439</v>
      </c>
      <c r="M89" s="48" t="s">
        <v>438</v>
      </c>
      <c r="N89" s="48" t="s">
        <v>440</v>
      </c>
      <c r="O89" s="48" t="s">
        <v>181</v>
      </c>
      <c r="P89" s="48" t="s">
        <v>181</v>
      </c>
      <c r="Q89" s="48">
        <v>342372.74</v>
      </c>
      <c r="R89" s="48">
        <v>0</v>
      </c>
      <c r="S89" s="48">
        <v>7834</v>
      </c>
      <c r="T89" s="48">
        <v>1912195.32</v>
      </c>
      <c r="U89" s="48">
        <v>0</v>
      </c>
      <c r="V89" s="48">
        <v>2053119.84</v>
      </c>
      <c r="W89" s="48">
        <v>0</v>
      </c>
      <c r="X89" s="48">
        <v>59480.04</v>
      </c>
      <c r="Y89" s="48">
        <v>0</v>
      </c>
      <c r="Z89" s="48">
        <v>706604.66</v>
      </c>
      <c r="AA89" s="48">
        <v>3291.15</v>
      </c>
      <c r="AB89" s="48">
        <v>19081.14</v>
      </c>
      <c r="AC89" s="48">
        <v>5356.38</v>
      </c>
      <c r="AD89" s="48">
        <v>0</v>
      </c>
      <c r="AE89" s="48">
        <v>0</v>
      </c>
      <c r="AF89" s="48">
        <v>4043.37</v>
      </c>
      <c r="AG89" s="48">
        <v>2240.1799999999998</v>
      </c>
      <c r="AH89" s="48">
        <v>2496</v>
      </c>
      <c r="AI89" s="48">
        <v>0</v>
      </c>
      <c r="AJ89" s="48">
        <v>0</v>
      </c>
      <c r="AK89" s="48">
        <v>0</v>
      </c>
      <c r="AL89" s="48">
        <v>0</v>
      </c>
      <c r="AM89" s="48">
        <v>45247.47</v>
      </c>
      <c r="AN89" s="48">
        <v>20388.03</v>
      </c>
      <c r="AO89" s="48">
        <v>1842998.93</v>
      </c>
      <c r="AP89" s="48">
        <v>3766.23</v>
      </c>
      <c r="AQ89" s="48">
        <v>1766058.7</v>
      </c>
      <c r="AR89" s="48">
        <v>52881.919999999998</v>
      </c>
      <c r="AS89" s="48">
        <v>120773.11</v>
      </c>
      <c r="AT89" s="48">
        <v>0</v>
      </c>
      <c r="AU89" s="48">
        <v>103867.5</v>
      </c>
      <c r="AV89" s="48">
        <v>29754.62</v>
      </c>
      <c r="AW89" s="48">
        <v>28218.81</v>
      </c>
      <c r="AX89" s="48">
        <v>0</v>
      </c>
      <c r="AY89" s="48">
        <v>0</v>
      </c>
      <c r="AZ89" s="48">
        <v>64900.78</v>
      </c>
      <c r="BA89" s="48">
        <v>10560.2</v>
      </c>
      <c r="BB89" s="48">
        <v>33826.07</v>
      </c>
      <c r="BC89" s="48">
        <v>5050.71</v>
      </c>
      <c r="BD89" s="48">
        <v>39199.43</v>
      </c>
      <c r="BE89" s="48">
        <v>0</v>
      </c>
      <c r="BF89" s="48">
        <v>32876.92</v>
      </c>
      <c r="BG89" s="48">
        <v>119709.32</v>
      </c>
      <c r="BH89" s="48">
        <v>19168.080000000002</v>
      </c>
      <c r="BI89" s="48">
        <v>0</v>
      </c>
      <c r="BJ89" s="48">
        <v>19145.78</v>
      </c>
      <c r="BK89" s="48">
        <v>5321</v>
      </c>
      <c r="BL89" s="48">
        <v>49570.68</v>
      </c>
      <c r="BM89" s="48">
        <v>41365.519999999997</v>
      </c>
      <c r="BN89" s="48">
        <v>0</v>
      </c>
      <c r="BO89" s="48">
        <v>186668.5</v>
      </c>
      <c r="BP89" s="48">
        <v>55719.69</v>
      </c>
      <c r="BQ89" s="48">
        <v>0</v>
      </c>
      <c r="BR89" s="48">
        <v>0</v>
      </c>
      <c r="BS89" s="48">
        <v>0</v>
      </c>
      <c r="BT89" s="48">
        <v>0</v>
      </c>
      <c r="BU89" s="48">
        <v>0</v>
      </c>
      <c r="BV89" s="48">
        <v>10388.879999999999</v>
      </c>
      <c r="BW89" s="48">
        <v>0</v>
      </c>
      <c r="BX89" s="48">
        <v>0</v>
      </c>
      <c r="BY89" s="48">
        <v>1</v>
      </c>
      <c r="BZ89" s="48">
        <v>0</v>
      </c>
      <c r="CA89" s="453">
        <v>0</v>
      </c>
      <c r="CB89" s="454"/>
      <c r="CC89" s="48">
        <v>0</v>
      </c>
      <c r="CD89" s="48">
        <v>0</v>
      </c>
      <c r="CE89" s="48">
        <v>179194</v>
      </c>
      <c r="CF89" s="48">
        <v>365320</v>
      </c>
      <c r="CG89" s="48">
        <v>18223</v>
      </c>
      <c r="CH89" s="48">
        <v>0</v>
      </c>
      <c r="CI89" s="48">
        <v>0</v>
      </c>
      <c r="CJ89" s="49">
        <v>0</v>
      </c>
      <c r="CK89" s="50">
        <f t="shared" si="2"/>
        <v>544514</v>
      </c>
      <c r="CL89" s="50">
        <f t="shared" si="3"/>
        <v>18223</v>
      </c>
    </row>
    <row r="90" spans="1:90" ht="25.5">
      <c r="A90" s="48">
        <v>302</v>
      </c>
      <c r="B90" s="48">
        <v>7010</v>
      </c>
      <c r="C90" s="48" t="s">
        <v>117</v>
      </c>
      <c r="D90" s="48" t="s">
        <v>441</v>
      </c>
      <c r="E90" s="48"/>
      <c r="F90" s="48" t="s">
        <v>435</v>
      </c>
      <c r="G90" s="48">
        <v>0</v>
      </c>
      <c r="H90" s="48">
        <v>1</v>
      </c>
      <c r="I90" s="48" t="s">
        <v>436</v>
      </c>
      <c r="J90" s="48" t="s">
        <v>437</v>
      </c>
      <c r="K90" s="48" t="s">
        <v>438</v>
      </c>
      <c r="L90" s="48" t="s">
        <v>439</v>
      </c>
      <c r="M90" s="48" t="s">
        <v>438</v>
      </c>
      <c r="N90" s="48" t="s">
        <v>440</v>
      </c>
      <c r="O90" s="48" t="s">
        <v>181</v>
      </c>
      <c r="P90" s="48" t="s">
        <v>181</v>
      </c>
      <c r="Q90" s="48">
        <v>354817</v>
      </c>
      <c r="R90" s="48">
        <v>0</v>
      </c>
      <c r="S90" s="48">
        <v>68607</v>
      </c>
      <c r="T90" s="48">
        <v>770387.74</v>
      </c>
      <c r="U90" s="48">
        <v>300977.03999999998</v>
      </c>
      <c r="V90" s="48">
        <v>2463506.14</v>
      </c>
      <c r="W90" s="48">
        <v>0</v>
      </c>
      <c r="X90" s="48">
        <v>34144.980000000003</v>
      </c>
      <c r="Y90" s="48">
        <v>33250</v>
      </c>
      <c r="Z90" s="48">
        <v>21344.51</v>
      </c>
      <c r="AA90" s="48">
        <v>9820.4</v>
      </c>
      <c r="AB90" s="48">
        <v>550</v>
      </c>
      <c r="AC90" s="48">
        <v>8605.8700000000008</v>
      </c>
      <c r="AD90" s="48">
        <v>0</v>
      </c>
      <c r="AE90" s="48">
        <v>0</v>
      </c>
      <c r="AF90" s="48">
        <v>490</v>
      </c>
      <c r="AG90" s="48">
        <v>5590.43</v>
      </c>
      <c r="AH90" s="48">
        <v>0</v>
      </c>
      <c r="AI90" s="48">
        <v>0</v>
      </c>
      <c r="AJ90" s="48">
        <v>0</v>
      </c>
      <c r="AK90" s="48">
        <v>0</v>
      </c>
      <c r="AL90" s="48">
        <v>7800</v>
      </c>
      <c r="AM90" s="48">
        <v>20452.18</v>
      </c>
      <c r="AN90" s="48">
        <v>0</v>
      </c>
      <c r="AO90" s="48">
        <v>1226622.96</v>
      </c>
      <c r="AP90" s="48">
        <v>0</v>
      </c>
      <c r="AQ90" s="48">
        <v>1382662.3</v>
      </c>
      <c r="AR90" s="48">
        <v>114661.04</v>
      </c>
      <c r="AS90" s="48">
        <v>131045.19</v>
      </c>
      <c r="AT90" s="48">
        <v>0</v>
      </c>
      <c r="AU90" s="48">
        <v>63560.61</v>
      </c>
      <c r="AV90" s="48">
        <v>16989.25</v>
      </c>
      <c r="AW90" s="48">
        <v>13670.27</v>
      </c>
      <c r="AX90" s="48">
        <v>0</v>
      </c>
      <c r="AY90" s="48">
        <v>0</v>
      </c>
      <c r="AZ90" s="48">
        <v>65588.490000000005</v>
      </c>
      <c r="BA90" s="48">
        <v>16281.01</v>
      </c>
      <c r="BB90" s="48">
        <v>6287.89</v>
      </c>
      <c r="BC90" s="48">
        <v>4343.08</v>
      </c>
      <c r="BD90" s="48">
        <v>22319.07</v>
      </c>
      <c r="BE90" s="48">
        <v>0</v>
      </c>
      <c r="BF90" s="48">
        <v>17835.95</v>
      </c>
      <c r="BG90" s="48">
        <v>58303.23</v>
      </c>
      <c r="BH90" s="48">
        <v>31110.99</v>
      </c>
      <c r="BI90" s="48">
        <v>907.3</v>
      </c>
      <c r="BJ90" s="48">
        <v>8856.6299999999992</v>
      </c>
      <c r="BK90" s="48">
        <v>9821</v>
      </c>
      <c r="BL90" s="48">
        <v>41500</v>
      </c>
      <c r="BM90" s="48">
        <v>23046.05</v>
      </c>
      <c r="BN90" s="48">
        <v>0</v>
      </c>
      <c r="BO90" s="48">
        <v>134572.38</v>
      </c>
      <c r="BP90" s="48">
        <v>29939.97</v>
      </c>
      <c r="BQ90" s="48">
        <v>0</v>
      </c>
      <c r="BR90" s="48">
        <v>0</v>
      </c>
      <c r="BS90" s="48">
        <v>0</v>
      </c>
      <c r="BT90" s="48">
        <v>0</v>
      </c>
      <c r="BU90" s="48">
        <v>0</v>
      </c>
      <c r="BV90" s="48">
        <v>8303.1200000000008</v>
      </c>
      <c r="BW90" s="48">
        <v>59556</v>
      </c>
      <c r="BX90" s="48">
        <v>0</v>
      </c>
      <c r="BY90" s="48">
        <v>1</v>
      </c>
      <c r="BZ90" s="48">
        <v>0</v>
      </c>
      <c r="CA90" s="453">
        <v>-446</v>
      </c>
      <c r="CB90" s="454"/>
      <c r="CC90" s="48">
        <v>77503.62</v>
      </c>
      <c r="CD90" s="48">
        <v>46082.05</v>
      </c>
      <c r="CE90" s="48">
        <v>40607</v>
      </c>
      <c r="CF90" s="48">
        <v>571205</v>
      </c>
      <c r="CG90" s="48">
        <v>13326</v>
      </c>
      <c r="CH90" s="48">
        <v>0</v>
      </c>
      <c r="CI90" s="48">
        <v>0</v>
      </c>
      <c r="CJ90" s="49">
        <v>0</v>
      </c>
      <c r="CK90" s="50">
        <f t="shared" si="2"/>
        <v>611812</v>
      </c>
      <c r="CL90" s="50">
        <f t="shared" si="3"/>
        <v>13326</v>
      </c>
    </row>
    <row r="91" spans="1:90" ht="24" customHeight="1">
      <c r="Q91" s="52">
        <f>SUM(Q4:Q90)</f>
        <v>11560078.030000001</v>
      </c>
      <c r="R91" s="52">
        <f t="shared" ref="R91:S91" si="4">SUM(R4:R90)</f>
        <v>275567.68</v>
      </c>
      <c r="S91" s="52">
        <f t="shared" si="4"/>
        <v>746208.82999999984</v>
      </c>
      <c r="T91" s="52">
        <f>SUM(T4:T90)</f>
        <v>167801226.67000002</v>
      </c>
      <c r="U91" s="52">
        <f t="shared" ref="U91:BV91" si="5">SUM(U4:U90)</f>
        <v>6821241.0599999996</v>
      </c>
      <c r="V91" s="52">
        <f t="shared" si="5"/>
        <v>17132322.84</v>
      </c>
      <c r="W91" s="52">
        <f t="shared" si="5"/>
        <v>0</v>
      </c>
      <c r="X91" s="52">
        <f t="shared" si="5"/>
        <v>8587524.2499999981</v>
      </c>
      <c r="Y91" s="52">
        <f t="shared" si="5"/>
        <v>1550803.3900000004</v>
      </c>
      <c r="Z91" s="52">
        <f t="shared" si="5"/>
        <v>1604524.2900000003</v>
      </c>
      <c r="AA91" s="52">
        <f t="shared" si="5"/>
        <v>1290105.5999999996</v>
      </c>
      <c r="AB91" s="52">
        <f t="shared" si="5"/>
        <v>4316485.9799999995</v>
      </c>
      <c r="AC91" s="52">
        <f t="shared" si="5"/>
        <v>3094466.9100000006</v>
      </c>
      <c r="AD91" s="52">
        <f t="shared" si="5"/>
        <v>243224.24999999997</v>
      </c>
      <c r="AE91" s="52">
        <f t="shared" si="5"/>
        <v>54633.459999999992</v>
      </c>
      <c r="AF91" s="52">
        <f t="shared" si="5"/>
        <v>2650151.8000000003</v>
      </c>
      <c r="AG91" s="52">
        <f t="shared" si="5"/>
        <v>7629261.8899999997</v>
      </c>
      <c r="AH91" s="52">
        <f t="shared" si="5"/>
        <v>2496</v>
      </c>
      <c r="AI91" s="52">
        <f t="shared" si="5"/>
        <v>878098.01</v>
      </c>
      <c r="AJ91" s="52">
        <f t="shared" si="5"/>
        <v>-9873.5299999999988</v>
      </c>
      <c r="AK91" s="52">
        <f t="shared" si="5"/>
        <v>67435.47</v>
      </c>
      <c r="AL91" s="52">
        <f t="shared" si="5"/>
        <v>409743.56</v>
      </c>
      <c r="AM91" s="52">
        <f t="shared" si="5"/>
        <v>1416956.0900000003</v>
      </c>
      <c r="AN91" s="52">
        <f t="shared" si="5"/>
        <v>5498556.9400000004</v>
      </c>
      <c r="AO91" s="52">
        <f t="shared" si="5"/>
        <v>109421644.88</v>
      </c>
      <c r="AP91" s="52">
        <f t="shared" si="5"/>
        <v>493033.52</v>
      </c>
      <c r="AQ91" s="52">
        <f t="shared" si="5"/>
        <v>44238739.529999994</v>
      </c>
      <c r="AR91" s="52">
        <f t="shared" si="5"/>
        <v>5024539.88</v>
      </c>
      <c r="AS91" s="52">
        <f t="shared" si="5"/>
        <v>10945944.699999999</v>
      </c>
      <c r="AT91" s="52">
        <f t="shared" si="5"/>
        <v>630940.24</v>
      </c>
      <c r="AU91" s="52">
        <f t="shared" si="5"/>
        <v>4599775.6400000006</v>
      </c>
      <c r="AV91" s="52">
        <f t="shared" si="5"/>
        <v>1642191.4400000002</v>
      </c>
      <c r="AW91" s="52">
        <f t="shared" si="5"/>
        <v>579777.12000000011</v>
      </c>
      <c r="AX91" s="52">
        <f t="shared" si="5"/>
        <v>466473.58000000007</v>
      </c>
      <c r="AY91" s="52">
        <f t="shared" si="5"/>
        <v>51585.34</v>
      </c>
      <c r="AZ91" s="52">
        <f t="shared" si="5"/>
        <v>2834366.5799999996</v>
      </c>
      <c r="BA91" s="52">
        <f t="shared" si="5"/>
        <v>483997.36000000004</v>
      </c>
      <c r="BB91" s="52">
        <f t="shared" si="5"/>
        <v>2892429.5400000005</v>
      </c>
      <c r="BC91" s="52">
        <f t="shared" si="5"/>
        <v>476449.31000000006</v>
      </c>
      <c r="BD91" s="52">
        <f t="shared" si="5"/>
        <v>3139897.3</v>
      </c>
      <c r="BE91" s="52">
        <f t="shared" si="5"/>
        <v>1877296.7099999993</v>
      </c>
      <c r="BF91" s="52">
        <f t="shared" si="5"/>
        <v>2013450.75</v>
      </c>
      <c r="BG91" s="52">
        <f t="shared" si="5"/>
        <v>6172426.2000000011</v>
      </c>
      <c r="BH91" s="52">
        <f t="shared" si="5"/>
        <v>1793504.9800000004</v>
      </c>
      <c r="BI91" s="52">
        <f t="shared" si="5"/>
        <v>595262.58000000007</v>
      </c>
      <c r="BJ91" s="52">
        <f t="shared" si="5"/>
        <v>1734210.9600000002</v>
      </c>
      <c r="BK91" s="52">
        <f t="shared" si="5"/>
        <v>1097540.5500000003</v>
      </c>
      <c r="BL91" s="52">
        <f t="shared" si="5"/>
        <v>990512.33999999985</v>
      </c>
      <c r="BM91" s="52">
        <f t="shared" si="5"/>
        <v>7460055.830000001</v>
      </c>
      <c r="BN91" s="52">
        <f t="shared" si="5"/>
        <v>4615976.9300000006</v>
      </c>
      <c r="BO91" s="52">
        <f t="shared" si="5"/>
        <v>9629708.8100000024</v>
      </c>
      <c r="BP91" s="52">
        <f t="shared" si="5"/>
        <v>4134818.5500000003</v>
      </c>
      <c r="BQ91" s="52">
        <f t="shared" si="5"/>
        <v>21213.5</v>
      </c>
      <c r="BR91" s="52">
        <f t="shared" si="5"/>
        <v>0</v>
      </c>
      <c r="BS91" s="52">
        <f t="shared" si="5"/>
        <v>531840.54</v>
      </c>
      <c r="BT91" s="52">
        <f t="shared" si="5"/>
        <v>682376.31</v>
      </c>
      <c r="BU91" s="52">
        <f t="shared" si="5"/>
        <v>171879.78999999998</v>
      </c>
      <c r="BV91" s="52">
        <f t="shared" si="5"/>
        <v>478298.79</v>
      </c>
      <c r="BW91" s="52">
        <f>SUM(BW4:BW90)</f>
        <v>171838.95</v>
      </c>
      <c r="BX91" s="52">
        <f t="shared" ref="BX91" si="6">SUM(BX4:BX90)</f>
        <v>384816.3</v>
      </c>
      <c r="BY91" s="52">
        <f t="shared" ref="BY91" si="7">SUM(BY4:BY90)</f>
        <v>87</v>
      </c>
      <c r="BZ91" s="52">
        <f>SUM(BZ4:BZ90)</f>
        <v>0</v>
      </c>
      <c r="CA91" s="52">
        <f t="shared" ref="CA91" si="8">SUM(CA4:CA90)</f>
        <v>513107.66999999993</v>
      </c>
      <c r="CB91" s="52">
        <f t="shared" ref="CB91" si="9">SUM(CB4:CB90)</f>
        <v>0</v>
      </c>
      <c r="CC91" s="52">
        <f t="shared" ref="CC91" si="10">SUM(CC4:CC90)</f>
        <v>189877.5</v>
      </c>
      <c r="CD91" s="52">
        <f t="shared" ref="CD91" si="11">SUM(CD4:CD90)</f>
        <v>431629.83999999991</v>
      </c>
      <c r="CE91" s="52">
        <f t="shared" ref="CE91" si="12">SUM(CE4:CE90)</f>
        <v>2864949</v>
      </c>
      <c r="CF91" s="52">
        <f t="shared" ref="CF91" si="13">SUM(CF4:CF90)</f>
        <v>8276681</v>
      </c>
      <c r="CG91" s="52">
        <f t="shared" ref="CG91" si="14">SUM(CG4:CG90)</f>
        <v>459398</v>
      </c>
      <c r="CH91" s="52">
        <f t="shared" ref="CH91" si="15">SUM(CH4:CH90)</f>
        <v>187151</v>
      </c>
      <c r="CI91" s="52">
        <f t="shared" ref="CI91" si="16">SUM(CI4:CI90)</f>
        <v>289535</v>
      </c>
      <c r="CJ91" s="52">
        <f t="shared" ref="CJ91" si="17">SUM(CJ4:CJ90)</f>
        <v>0</v>
      </c>
      <c r="CK91" s="52">
        <f t="shared" ref="CK91" si="18">SUM(CK4:CK90)</f>
        <v>11431165</v>
      </c>
      <c r="CL91" s="52">
        <f t="shared" ref="CL91" si="19">SUM(CL4:CL90)</f>
        <v>646549</v>
      </c>
    </row>
  </sheetData>
  <mergeCells count="89">
    <mergeCell ref="CA86:CB86"/>
    <mergeCell ref="CA87:CB87"/>
    <mergeCell ref="CA88:CB88"/>
    <mergeCell ref="CA89:CB89"/>
    <mergeCell ref="CA90:CB90"/>
    <mergeCell ref="CA85:CB85"/>
    <mergeCell ref="CA74:CB74"/>
    <mergeCell ref="CA75:CB75"/>
    <mergeCell ref="CA76:CB76"/>
    <mergeCell ref="CA77:CB77"/>
    <mergeCell ref="CA78:CB78"/>
    <mergeCell ref="CA79:CB79"/>
    <mergeCell ref="CA80:CB80"/>
    <mergeCell ref="CA81:CB81"/>
    <mergeCell ref="CA82:CB82"/>
    <mergeCell ref="CA83:CB83"/>
    <mergeCell ref="CA84:CB84"/>
    <mergeCell ref="CA73:CB73"/>
    <mergeCell ref="CA62:CB62"/>
    <mergeCell ref="CA63:CB63"/>
    <mergeCell ref="CA64:CB64"/>
    <mergeCell ref="CA65:CB65"/>
    <mergeCell ref="CA66:CB66"/>
    <mergeCell ref="CA67:CB67"/>
    <mergeCell ref="CA68:CB68"/>
    <mergeCell ref="CA69:CB69"/>
    <mergeCell ref="CA70:CB70"/>
    <mergeCell ref="CA71:CB71"/>
    <mergeCell ref="CA72:CB72"/>
    <mergeCell ref="CA61:CB61"/>
    <mergeCell ref="CA50:CB50"/>
    <mergeCell ref="CA51:CB51"/>
    <mergeCell ref="CA52:CB52"/>
    <mergeCell ref="CA53:CB53"/>
    <mergeCell ref="CA54:CB54"/>
    <mergeCell ref="CA55:CB55"/>
    <mergeCell ref="CA56:CB56"/>
    <mergeCell ref="CA57:CB57"/>
    <mergeCell ref="CA58:CB58"/>
    <mergeCell ref="CA59:CB59"/>
    <mergeCell ref="CA60:CB60"/>
    <mergeCell ref="CA49:CB49"/>
    <mergeCell ref="CA38:CB38"/>
    <mergeCell ref="CA39:CB39"/>
    <mergeCell ref="CA40:CB40"/>
    <mergeCell ref="CA41:CB41"/>
    <mergeCell ref="CA42:CB42"/>
    <mergeCell ref="CA43:CB43"/>
    <mergeCell ref="CA44:CB44"/>
    <mergeCell ref="CA45:CB45"/>
    <mergeCell ref="CA46:CB46"/>
    <mergeCell ref="CA47:CB47"/>
    <mergeCell ref="CA48:CB48"/>
    <mergeCell ref="CA37:CB37"/>
    <mergeCell ref="CA26:CB26"/>
    <mergeCell ref="CA27:CB27"/>
    <mergeCell ref="CA28:CB28"/>
    <mergeCell ref="CA29:CB29"/>
    <mergeCell ref="CA30:CB30"/>
    <mergeCell ref="CA31:CB31"/>
    <mergeCell ref="CA32:CB32"/>
    <mergeCell ref="CA33:CB33"/>
    <mergeCell ref="CA34:CB34"/>
    <mergeCell ref="CA35:CB35"/>
    <mergeCell ref="CA36:CB36"/>
    <mergeCell ref="CA25:CB25"/>
    <mergeCell ref="CA14:CB14"/>
    <mergeCell ref="CA15:CB15"/>
    <mergeCell ref="CA16:CB16"/>
    <mergeCell ref="CA17:CB17"/>
    <mergeCell ref="CA18:CB18"/>
    <mergeCell ref="CA19:CB19"/>
    <mergeCell ref="CA20:CB20"/>
    <mergeCell ref="CA21:CB21"/>
    <mergeCell ref="CA22:CB22"/>
    <mergeCell ref="CA23:CB23"/>
    <mergeCell ref="CA24:CB24"/>
    <mergeCell ref="CA13:CB13"/>
    <mergeCell ref="A2:CA2"/>
    <mergeCell ref="CA3:CB3"/>
    <mergeCell ref="CA4:CB4"/>
    <mergeCell ref="CA5:CB5"/>
    <mergeCell ref="CA6:CB6"/>
    <mergeCell ref="CA7:CB7"/>
    <mergeCell ref="CA8:CB8"/>
    <mergeCell ref="CA9:CB9"/>
    <mergeCell ref="CA10:CB10"/>
    <mergeCell ref="CA11:CB11"/>
    <mergeCell ref="CA12:CB12"/>
  </mergeCells>
  <pageMargins left="0.98425196850393704" right="0.98425196850393704" top="0.98425196850393704" bottom="0.98425196850393704" header="0.98425196850393704" footer="0.98425196850393704"/>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62D70-008E-4076-95A4-5B3E0F1BFE3F}">
  <dimension ref="A1:F95"/>
  <sheetViews>
    <sheetView workbookViewId="0">
      <pane xSplit="5" ySplit="2" topLeftCell="F57" activePane="bottomRight" state="frozen"/>
      <selection pane="topRight" activeCell="E1" sqref="E1"/>
      <selection pane="bottomLeft" activeCell="A2" sqref="A2"/>
      <selection pane="bottomRight" activeCell="C91" sqref="C91"/>
    </sheetView>
  </sheetViews>
  <sheetFormatPr defaultRowHeight="15"/>
  <cols>
    <col min="1" max="1" width="11.85546875" style="54" customWidth="1"/>
    <col min="2" max="2" width="9.140625" style="54"/>
    <col min="3" max="3" width="56.140625" style="54" bestFit="1" customWidth="1"/>
    <col min="4" max="4" width="14.7109375" style="54" bestFit="1" customWidth="1"/>
    <col min="5" max="16384" width="9.140625" style="54"/>
  </cols>
  <sheetData>
    <row r="1" spans="1:6">
      <c r="A1" s="53"/>
      <c r="B1" s="53"/>
      <c r="C1" s="53" t="s">
        <v>478</v>
      </c>
      <c r="D1" s="53"/>
      <c r="E1" s="53"/>
    </row>
    <row r="2" spans="1:6" ht="30">
      <c r="A2" s="55" t="s">
        <v>336</v>
      </c>
      <c r="B2" s="55" t="s">
        <v>479</v>
      </c>
      <c r="C2" s="55" t="s">
        <v>121</v>
      </c>
      <c r="D2" s="55" t="s">
        <v>480</v>
      </c>
      <c r="E2" s="55" t="s">
        <v>481</v>
      </c>
      <c r="F2" s="56"/>
    </row>
    <row r="3" spans="1:6">
      <c r="A3" s="54">
        <v>1000</v>
      </c>
      <c r="B3" s="54">
        <v>101251</v>
      </c>
      <c r="C3" s="54" t="s">
        <v>27</v>
      </c>
      <c r="D3" s="54" t="s">
        <v>482</v>
      </c>
      <c r="E3" s="54">
        <v>56</v>
      </c>
    </row>
    <row r="4" spans="1:6">
      <c r="A4" s="54">
        <v>1001</v>
      </c>
      <c r="B4" s="54">
        <v>101252</v>
      </c>
      <c r="C4" s="54" t="s">
        <v>28</v>
      </c>
      <c r="D4" s="54" t="s">
        <v>482</v>
      </c>
      <c r="E4" s="54">
        <v>57</v>
      </c>
    </row>
    <row r="5" spans="1:6">
      <c r="A5" s="54">
        <v>1003</v>
      </c>
      <c r="B5" s="54">
        <v>101254</v>
      </c>
      <c r="C5" s="54" t="s">
        <v>30</v>
      </c>
      <c r="D5" s="54" t="s">
        <v>482</v>
      </c>
      <c r="E5" s="54">
        <v>63</v>
      </c>
    </row>
    <row r="6" spans="1:6" s="57" customFormat="1">
      <c r="A6" s="57">
        <v>1000</v>
      </c>
      <c r="C6" s="57" t="s">
        <v>361</v>
      </c>
      <c r="E6" s="57">
        <f>SUM(E3:E5)</f>
        <v>176</v>
      </c>
    </row>
    <row r="7" spans="1:6">
      <c r="A7" s="54">
        <v>3520</v>
      </c>
      <c r="B7" s="54">
        <v>135086</v>
      </c>
      <c r="C7" s="54" t="s">
        <v>249</v>
      </c>
      <c r="D7" s="54" t="s">
        <v>482</v>
      </c>
      <c r="E7" s="54">
        <v>421</v>
      </c>
    </row>
    <row r="8" spans="1:6">
      <c r="A8" s="54">
        <v>3317</v>
      </c>
      <c r="B8" s="54">
        <v>101329</v>
      </c>
      <c r="C8" s="54" t="s">
        <v>250</v>
      </c>
      <c r="D8" s="54" t="s">
        <v>482</v>
      </c>
      <c r="E8" s="54">
        <v>235</v>
      </c>
    </row>
    <row r="9" spans="1:6">
      <c r="A9" s="54">
        <v>3300</v>
      </c>
      <c r="B9" s="54">
        <v>101315</v>
      </c>
      <c r="C9" s="54" t="s">
        <v>347</v>
      </c>
      <c r="D9" s="54" t="s">
        <v>482</v>
      </c>
      <c r="E9" s="54">
        <v>158</v>
      </c>
    </row>
    <row r="10" spans="1:6">
      <c r="A10" s="54">
        <v>3500</v>
      </c>
      <c r="B10" s="54">
        <v>101330</v>
      </c>
      <c r="C10" s="54" t="s">
        <v>329</v>
      </c>
      <c r="D10" s="54" t="s">
        <v>482</v>
      </c>
      <c r="E10" s="54">
        <v>152</v>
      </c>
    </row>
    <row r="11" spans="1:6">
      <c r="A11" s="54">
        <v>3514</v>
      </c>
      <c r="B11" s="54">
        <v>101342</v>
      </c>
      <c r="C11" s="54" t="s">
        <v>281</v>
      </c>
      <c r="D11" s="54" t="s">
        <v>482</v>
      </c>
      <c r="E11" s="54">
        <v>187</v>
      </c>
    </row>
    <row r="12" spans="1:6">
      <c r="A12" s="54">
        <v>2002</v>
      </c>
      <c r="B12" s="54">
        <v>101258</v>
      </c>
      <c r="C12" s="54" t="s">
        <v>251</v>
      </c>
      <c r="D12" s="54" t="s">
        <v>482</v>
      </c>
      <c r="E12" s="54">
        <v>431.5</v>
      </c>
    </row>
    <row r="13" spans="1:6">
      <c r="A13" s="54">
        <v>2079</v>
      </c>
      <c r="B13" s="54">
        <v>133365</v>
      </c>
      <c r="C13" s="54" t="s">
        <v>252</v>
      </c>
      <c r="D13" s="54" t="s">
        <v>482</v>
      </c>
      <c r="E13" s="54">
        <v>472</v>
      </c>
    </row>
    <row r="14" spans="1:6">
      <c r="A14" s="54">
        <v>3524</v>
      </c>
      <c r="B14" s="54">
        <v>136402</v>
      </c>
      <c r="C14" s="54" t="s">
        <v>331</v>
      </c>
      <c r="D14" s="54" t="s">
        <v>482</v>
      </c>
      <c r="E14" s="54">
        <v>221</v>
      </c>
    </row>
    <row r="15" spans="1:6">
      <c r="A15" s="54">
        <v>2003</v>
      </c>
      <c r="B15" s="54">
        <v>101259</v>
      </c>
      <c r="C15" s="54" t="s">
        <v>253</v>
      </c>
      <c r="D15" s="54" t="s">
        <v>482</v>
      </c>
      <c r="E15" s="54">
        <v>405.5</v>
      </c>
    </row>
    <row r="16" spans="1:6">
      <c r="A16" s="54">
        <v>3511</v>
      </c>
      <c r="B16" s="54">
        <v>101339</v>
      </c>
      <c r="C16" s="54" t="s">
        <v>359</v>
      </c>
      <c r="D16" s="54" t="s">
        <v>482</v>
      </c>
      <c r="E16" s="54">
        <v>439.5</v>
      </c>
    </row>
    <row r="17" spans="1:5">
      <c r="A17" s="54">
        <v>2008</v>
      </c>
      <c r="B17" s="54">
        <v>101263</v>
      </c>
      <c r="C17" s="54" t="s">
        <v>254</v>
      </c>
      <c r="D17" s="54" t="s">
        <v>482</v>
      </c>
      <c r="E17" s="54">
        <v>303.5</v>
      </c>
    </row>
    <row r="18" spans="1:5">
      <c r="A18" s="54">
        <v>2007</v>
      </c>
      <c r="B18" s="54">
        <v>101262</v>
      </c>
      <c r="C18" s="54" t="s">
        <v>41</v>
      </c>
      <c r="D18" s="54" t="s">
        <v>482</v>
      </c>
      <c r="E18" s="54">
        <v>353</v>
      </c>
    </row>
    <row r="19" spans="1:5">
      <c r="A19" s="54">
        <v>2009</v>
      </c>
      <c r="B19" s="54">
        <v>101264</v>
      </c>
      <c r="C19" s="54" t="s">
        <v>255</v>
      </c>
      <c r="D19" s="54" t="s">
        <v>482</v>
      </c>
      <c r="E19" s="54">
        <v>440.5</v>
      </c>
    </row>
    <row r="20" spans="1:5">
      <c r="A20" s="54">
        <v>2067</v>
      </c>
      <c r="B20" s="54">
        <v>101309</v>
      </c>
      <c r="C20" s="54" t="s">
        <v>256</v>
      </c>
      <c r="D20" s="54" t="s">
        <v>482</v>
      </c>
      <c r="E20" s="54">
        <v>223</v>
      </c>
    </row>
    <row r="21" spans="1:5">
      <c r="A21" s="54">
        <v>3302</v>
      </c>
      <c r="B21" s="54">
        <v>101316</v>
      </c>
      <c r="C21" s="54" t="s">
        <v>257</v>
      </c>
      <c r="D21" s="54" t="s">
        <v>482</v>
      </c>
      <c r="E21" s="54">
        <v>218.5</v>
      </c>
    </row>
    <row r="22" spans="1:5">
      <c r="A22" s="54">
        <v>2011</v>
      </c>
      <c r="B22" s="54">
        <v>101266</v>
      </c>
      <c r="C22" s="54" t="s">
        <v>46</v>
      </c>
      <c r="D22" s="54" t="s">
        <v>482</v>
      </c>
      <c r="E22" s="54">
        <v>210</v>
      </c>
    </row>
    <row r="23" spans="1:5">
      <c r="A23" s="54">
        <v>2014</v>
      </c>
      <c r="B23" s="54">
        <v>101269</v>
      </c>
      <c r="C23" s="54" t="s">
        <v>258</v>
      </c>
      <c r="D23" s="54" t="s">
        <v>482</v>
      </c>
      <c r="E23" s="54">
        <v>676</v>
      </c>
    </row>
    <row r="24" spans="1:5">
      <c r="A24" s="54">
        <v>2015</v>
      </c>
      <c r="B24" s="54">
        <v>101270</v>
      </c>
      <c r="C24" s="54" t="s">
        <v>259</v>
      </c>
      <c r="D24" s="54" t="s">
        <v>482</v>
      </c>
      <c r="E24" s="54">
        <v>238</v>
      </c>
    </row>
    <row r="25" spans="1:5">
      <c r="A25" s="54">
        <v>2016</v>
      </c>
      <c r="B25" s="54">
        <v>101271</v>
      </c>
      <c r="C25" s="54" t="s">
        <v>50</v>
      </c>
      <c r="D25" s="54" t="s">
        <v>482</v>
      </c>
      <c r="E25" s="54">
        <v>196.5</v>
      </c>
    </row>
    <row r="26" spans="1:5">
      <c r="A26" s="54">
        <v>2017</v>
      </c>
      <c r="B26" s="54">
        <v>101272</v>
      </c>
      <c r="C26" s="54" t="s">
        <v>260</v>
      </c>
      <c r="D26" s="54" t="s">
        <v>482</v>
      </c>
      <c r="E26" s="54">
        <v>413</v>
      </c>
    </row>
    <row r="27" spans="1:5">
      <c r="A27" s="54">
        <v>2073</v>
      </c>
      <c r="B27" s="54">
        <v>101314</v>
      </c>
      <c r="C27" s="54" t="s">
        <v>261</v>
      </c>
      <c r="D27" s="54" t="s">
        <v>482</v>
      </c>
      <c r="E27" s="54">
        <v>622</v>
      </c>
    </row>
    <row r="28" spans="1:5">
      <c r="A28" s="54">
        <v>2019</v>
      </c>
      <c r="B28" s="54">
        <v>101274</v>
      </c>
      <c r="C28" s="54" t="s">
        <v>53</v>
      </c>
      <c r="D28" s="54" t="s">
        <v>482</v>
      </c>
      <c r="E28" s="54">
        <v>248</v>
      </c>
    </row>
    <row r="29" spans="1:5">
      <c r="A29" s="54">
        <v>2021</v>
      </c>
      <c r="B29" s="54">
        <v>101275</v>
      </c>
      <c r="C29" s="54" t="s">
        <v>367</v>
      </c>
      <c r="D29" s="54" t="s">
        <v>482</v>
      </c>
      <c r="E29" s="54">
        <v>457</v>
      </c>
    </row>
    <row r="30" spans="1:5">
      <c r="A30" s="54">
        <v>2023</v>
      </c>
      <c r="B30" s="54">
        <v>101277</v>
      </c>
      <c r="C30" s="54" t="s">
        <v>338</v>
      </c>
      <c r="D30" s="54" t="s">
        <v>482</v>
      </c>
      <c r="E30" s="54">
        <v>471</v>
      </c>
    </row>
    <row r="31" spans="1:5">
      <c r="A31" s="54">
        <v>2024</v>
      </c>
      <c r="B31" s="54">
        <v>101278</v>
      </c>
      <c r="C31" s="54" t="s">
        <v>344</v>
      </c>
      <c r="D31" s="54" t="s">
        <v>482</v>
      </c>
      <c r="E31" s="54">
        <v>239.5</v>
      </c>
    </row>
    <row r="32" spans="1:5">
      <c r="A32" s="54">
        <v>2025</v>
      </c>
      <c r="B32" s="54">
        <v>101279</v>
      </c>
      <c r="C32" s="54" t="s">
        <v>59</v>
      </c>
      <c r="D32" s="54" t="s">
        <v>482</v>
      </c>
      <c r="E32" s="54">
        <v>317</v>
      </c>
    </row>
    <row r="33" spans="1:5">
      <c r="A33" s="54">
        <v>2026</v>
      </c>
      <c r="B33" s="54">
        <v>101280</v>
      </c>
      <c r="C33" s="54" t="s">
        <v>262</v>
      </c>
      <c r="D33" s="54" t="s">
        <v>482</v>
      </c>
      <c r="E33" s="54">
        <v>518.5</v>
      </c>
    </row>
    <row r="34" spans="1:5">
      <c r="A34" s="54">
        <v>2028</v>
      </c>
      <c r="B34" s="54">
        <v>101282</v>
      </c>
      <c r="C34" s="54" t="s">
        <v>61</v>
      </c>
      <c r="D34" s="54" t="s">
        <v>482</v>
      </c>
      <c r="E34" s="54">
        <v>220</v>
      </c>
    </row>
    <row r="35" spans="1:5">
      <c r="A35" s="54">
        <v>2027</v>
      </c>
      <c r="B35" s="54">
        <v>101281</v>
      </c>
      <c r="C35" s="54" t="s">
        <v>62</v>
      </c>
      <c r="D35" s="54" t="s">
        <v>482</v>
      </c>
      <c r="E35" s="54">
        <v>331</v>
      </c>
    </row>
    <row r="36" spans="1:5">
      <c r="A36" s="54">
        <v>2029</v>
      </c>
      <c r="B36" s="54">
        <v>101283</v>
      </c>
      <c r="C36" s="54" t="s">
        <v>263</v>
      </c>
      <c r="D36" s="54" t="s">
        <v>482</v>
      </c>
      <c r="E36" s="54">
        <v>454</v>
      </c>
    </row>
    <row r="37" spans="1:5">
      <c r="A37" s="54">
        <v>3516</v>
      </c>
      <c r="B37" s="54">
        <v>130998</v>
      </c>
      <c r="C37" s="54" t="s">
        <v>64</v>
      </c>
      <c r="D37" s="54" t="s">
        <v>482</v>
      </c>
      <c r="E37" s="54">
        <v>214</v>
      </c>
    </row>
    <row r="38" spans="1:5">
      <c r="A38" s="54">
        <v>2031</v>
      </c>
      <c r="B38" s="54">
        <v>101285</v>
      </c>
      <c r="C38" s="54" t="s">
        <v>264</v>
      </c>
      <c r="D38" s="54" t="s">
        <v>482</v>
      </c>
      <c r="E38" s="54">
        <v>208</v>
      </c>
    </row>
    <row r="39" spans="1:5">
      <c r="A39" s="54">
        <v>2032</v>
      </c>
      <c r="B39" s="54">
        <v>101286</v>
      </c>
      <c r="C39" s="54" t="s">
        <v>265</v>
      </c>
      <c r="D39" s="54" t="s">
        <v>482</v>
      </c>
      <c r="E39" s="54">
        <v>446</v>
      </c>
    </row>
    <row r="40" spans="1:5">
      <c r="A40" s="54">
        <v>3304</v>
      </c>
      <c r="B40" s="54">
        <v>101317</v>
      </c>
      <c r="C40" s="54" t="s">
        <v>266</v>
      </c>
      <c r="D40" s="54" t="s">
        <v>482</v>
      </c>
      <c r="E40" s="54">
        <v>218.5</v>
      </c>
    </row>
    <row r="41" spans="1:5">
      <c r="A41" s="54">
        <v>2036</v>
      </c>
      <c r="B41" s="54">
        <v>101289</v>
      </c>
      <c r="C41" s="54" t="s">
        <v>345</v>
      </c>
      <c r="D41" s="54" t="s">
        <v>482</v>
      </c>
      <c r="E41" s="54">
        <v>246.5</v>
      </c>
    </row>
    <row r="42" spans="1:5">
      <c r="A42" s="54">
        <v>2037</v>
      </c>
      <c r="B42" s="54">
        <v>101290</v>
      </c>
      <c r="C42" s="54" t="s">
        <v>267</v>
      </c>
      <c r="D42" s="54" t="s">
        <v>482</v>
      </c>
      <c r="E42" s="54">
        <v>263</v>
      </c>
    </row>
    <row r="43" spans="1:5">
      <c r="A43" s="54">
        <v>3523</v>
      </c>
      <c r="B43" s="54">
        <v>135226</v>
      </c>
      <c r="C43" s="54" t="s">
        <v>268</v>
      </c>
      <c r="D43" s="54" t="s">
        <v>482</v>
      </c>
      <c r="E43" s="54">
        <v>663</v>
      </c>
    </row>
    <row r="44" spans="1:5">
      <c r="A44" s="54">
        <v>5948</v>
      </c>
      <c r="B44" s="54">
        <v>101376</v>
      </c>
      <c r="C44" s="54" t="s">
        <v>269</v>
      </c>
      <c r="D44" s="54" t="s">
        <v>482</v>
      </c>
      <c r="E44" s="54">
        <v>224</v>
      </c>
    </row>
    <row r="45" spans="1:5">
      <c r="A45" s="54">
        <v>5949</v>
      </c>
      <c r="B45" s="54">
        <v>131359</v>
      </c>
      <c r="C45" s="54" t="s">
        <v>72</v>
      </c>
      <c r="D45" s="54" t="s">
        <v>482</v>
      </c>
      <c r="E45" s="54">
        <v>406</v>
      </c>
    </row>
    <row r="46" spans="1:5">
      <c r="A46" s="54">
        <v>3513</v>
      </c>
      <c r="B46" s="54">
        <v>101341</v>
      </c>
      <c r="C46" s="54" t="s">
        <v>73</v>
      </c>
      <c r="D46" s="54" t="s">
        <v>482</v>
      </c>
      <c r="E46" s="54">
        <v>430</v>
      </c>
    </row>
    <row r="47" spans="1:5">
      <c r="A47" s="54">
        <v>3305</v>
      </c>
      <c r="B47" s="54">
        <v>101318</v>
      </c>
      <c r="C47" s="54" t="s">
        <v>270</v>
      </c>
      <c r="D47" s="54" t="s">
        <v>482</v>
      </c>
      <c r="E47" s="54">
        <v>148</v>
      </c>
    </row>
    <row r="48" spans="1:5">
      <c r="A48" s="54">
        <v>2042</v>
      </c>
      <c r="B48" s="54">
        <v>101293</v>
      </c>
      <c r="C48" s="54" t="s">
        <v>271</v>
      </c>
      <c r="D48" s="54" t="s">
        <v>482</v>
      </c>
      <c r="E48" s="54">
        <v>423</v>
      </c>
    </row>
    <row r="49" spans="1:5">
      <c r="A49" s="54">
        <v>2044</v>
      </c>
      <c r="B49" s="54">
        <v>101295</v>
      </c>
      <c r="C49" s="54" t="s">
        <v>76</v>
      </c>
      <c r="D49" s="54" t="s">
        <v>482</v>
      </c>
      <c r="E49" s="54">
        <v>352</v>
      </c>
    </row>
    <row r="50" spans="1:5">
      <c r="A50" s="54">
        <v>2043</v>
      </c>
      <c r="B50" s="54">
        <v>101294</v>
      </c>
      <c r="C50" s="54" t="s">
        <v>77</v>
      </c>
      <c r="D50" s="54" t="s">
        <v>482</v>
      </c>
      <c r="E50" s="54">
        <v>442</v>
      </c>
    </row>
    <row r="51" spans="1:5">
      <c r="A51" s="54">
        <v>1002</v>
      </c>
      <c r="B51" s="54">
        <v>101253</v>
      </c>
      <c r="C51" s="54" t="s">
        <v>29</v>
      </c>
      <c r="D51" s="54" t="s">
        <v>482</v>
      </c>
      <c r="E51" s="54">
        <v>69.5</v>
      </c>
    </row>
    <row r="52" spans="1:5">
      <c r="A52" s="54">
        <v>2045</v>
      </c>
      <c r="B52" s="54">
        <v>101296</v>
      </c>
      <c r="C52" s="54" t="s">
        <v>272</v>
      </c>
      <c r="D52" s="54" t="s">
        <v>482</v>
      </c>
      <c r="E52" s="54">
        <v>249</v>
      </c>
    </row>
    <row r="53" spans="1:5">
      <c r="A53" s="54">
        <v>2077</v>
      </c>
      <c r="B53" s="54">
        <v>131970</v>
      </c>
      <c r="C53" s="54" t="s">
        <v>282</v>
      </c>
      <c r="D53" s="54" t="s">
        <v>482</v>
      </c>
      <c r="E53" s="54">
        <v>915</v>
      </c>
    </row>
    <row r="54" spans="1:5">
      <c r="A54" s="54">
        <v>5201</v>
      </c>
      <c r="B54" s="54">
        <v>101356</v>
      </c>
      <c r="C54" s="54" t="s">
        <v>273</v>
      </c>
      <c r="D54" s="54" t="s">
        <v>482</v>
      </c>
      <c r="E54" s="54">
        <v>412</v>
      </c>
    </row>
    <row r="55" spans="1:5">
      <c r="A55" s="54">
        <v>3501</v>
      </c>
      <c r="B55" s="54">
        <v>101331</v>
      </c>
      <c r="C55" s="54" t="s">
        <v>81</v>
      </c>
      <c r="D55" s="54" t="s">
        <v>482</v>
      </c>
      <c r="E55" s="54">
        <v>226.5</v>
      </c>
    </row>
    <row r="56" spans="1:5">
      <c r="A56" s="54">
        <v>2078</v>
      </c>
      <c r="B56" s="54">
        <v>133364</v>
      </c>
      <c r="C56" s="54" t="s">
        <v>274</v>
      </c>
      <c r="D56" s="54" t="s">
        <v>482</v>
      </c>
      <c r="E56" s="54">
        <v>355</v>
      </c>
    </row>
    <row r="57" spans="1:5">
      <c r="B57" s="54">
        <v>101312</v>
      </c>
      <c r="C57" s="54" t="s">
        <v>346</v>
      </c>
      <c r="D57" s="54" t="s">
        <v>482</v>
      </c>
      <c r="E57" s="54">
        <v>213.5</v>
      </c>
    </row>
    <row r="58" spans="1:5">
      <c r="B58" s="54">
        <v>101313</v>
      </c>
      <c r="C58" s="54" t="s">
        <v>84</v>
      </c>
      <c r="D58" s="54" t="s">
        <v>482</v>
      </c>
      <c r="E58" s="54">
        <v>297</v>
      </c>
    </row>
    <row r="59" spans="1:5" s="57" customFormat="1">
      <c r="A59" s="57">
        <v>2072</v>
      </c>
      <c r="C59" s="57" t="s">
        <v>487</v>
      </c>
      <c r="D59" s="57" t="s">
        <v>482</v>
      </c>
      <c r="E59" s="57">
        <f>SUM(E57:E58)</f>
        <v>510.5</v>
      </c>
    </row>
    <row r="60" spans="1:5">
      <c r="A60" s="54">
        <v>3512</v>
      </c>
      <c r="B60" s="54">
        <v>101340</v>
      </c>
      <c r="C60" s="54" t="s">
        <v>275</v>
      </c>
      <c r="D60" s="54" t="s">
        <v>482</v>
      </c>
      <c r="E60" s="54">
        <v>365</v>
      </c>
    </row>
    <row r="61" spans="1:5">
      <c r="A61" s="54">
        <v>3510</v>
      </c>
      <c r="B61" s="54">
        <v>101338</v>
      </c>
      <c r="C61" s="54" t="s">
        <v>276</v>
      </c>
      <c r="D61" s="54" t="s">
        <v>482</v>
      </c>
      <c r="E61" s="54">
        <v>400</v>
      </c>
    </row>
    <row r="62" spans="1:5">
      <c r="A62" s="54">
        <v>2053</v>
      </c>
      <c r="B62" s="54">
        <v>146803</v>
      </c>
      <c r="C62" s="54" t="s">
        <v>395</v>
      </c>
      <c r="D62" s="54" t="s">
        <v>482</v>
      </c>
      <c r="E62" s="54">
        <v>229</v>
      </c>
    </row>
    <row r="63" spans="1:5">
      <c r="A63" s="54">
        <v>3502</v>
      </c>
      <c r="B63" s="54">
        <v>101332</v>
      </c>
      <c r="C63" s="54" t="s">
        <v>483</v>
      </c>
      <c r="D63" s="54" t="s">
        <v>482</v>
      </c>
      <c r="E63" s="54">
        <v>395.5</v>
      </c>
    </row>
    <row r="64" spans="1:5">
      <c r="A64" s="54">
        <v>3315</v>
      </c>
      <c r="B64" s="54">
        <v>101327</v>
      </c>
      <c r="C64" s="54" t="s">
        <v>351</v>
      </c>
      <c r="D64" s="54" t="s">
        <v>482</v>
      </c>
      <c r="E64" s="54">
        <v>207</v>
      </c>
    </row>
    <row r="65" spans="1:5">
      <c r="A65" s="54">
        <v>3504</v>
      </c>
      <c r="B65" s="54">
        <v>101333</v>
      </c>
      <c r="C65" s="54" t="s">
        <v>277</v>
      </c>
      <c r="D65" s="54" t="s">
        <v>482</v>
      </c>
      <c r="E65" s="54">
        <v>459.5</v>
      </c>
    </row>
    <row r="66" spans="1:5">
      <c r="A66" s="54">
        <v>3307</v>
      </c>
      <c r="B66" s="54">
        <v>101319</v>
      </c>
      <c r="C66" s="54" t="s">
        <v>348</v>
      </c>
      <c r="D66" s="54" t="s">
        <v>482</v>
      </c>
      <c r="E66" s="54">
        <v>230.5</v>
      </c>
    </row>
    <row r="67" spans="1:5">
      <c r="A67" s="54">
        <v>3309</v>
      </c>
      <c r="B67" s="54">
        <v>101321</v>
      </c>
      <c r="C67" s="54" t="s">
        <v>484</v>
      </c>
      <c r="D67" s="54" t="s">
        <v>482</v>
      </c>
      <c r="E67" s="54">
        <v>232.5</v>
      </c>
    </row>
    <row r="68" spans="1:5">
      <c r="A68" s="54">
        <v>3509</v>
      </c>
      <c r="B68" s="54">
        <v>101337</v>
      </c>
      <c r="C68" s="54" t="s">
        <v>339</v>
      </c>
      <c r="D68" s="54" t="s">
        <v>482</v>
      </c>
      <c r="E68" s="54">
        <v>472.5</v>
      </c>
    </row>
    <row r="69" spans="1:5">
      <c r="A69" s="54">
        <v>3311</v>
      </c>
      <c r="B69" s="54">
        <v>101323</v>
      </c>
      <c r="C69" s="54" t="s">
        <v>350</v>
      </c>
      <c r="D69" s="54" t="s">
        <v>482</v>
      </c>
      <c r="E69" s="54">
        <v>444</v>
      </c>
    </row>
    <row r="70" spans="1:5">
      <c r="A70" s="54">
        <v>3312</v>
      </c>
      <c r="B70" s="54">
        <v>101324</v>
      </c>
      <c r="C70" s="54" t="s">
        <v>278</v>
      </c>
      <c r="D70" s="54" t="s">
        <v>482</v>
      </c>
      <c r="E70" s="54">
        <v>210</v>
      </c>
    </row>
    <row r="71" spans="1:5">
      <c r="A71" s="54">
        <v>3313</v>
      </c>
      <c r="B71" s="54">
        <v>101325</v>
      </c>
      <c r="C71" s="54" t="s">
        <v>279</v>
      </c>
      <c r="D71" s="54" t="s">
        <v>482</v>
      </c>
      <c r="E71" s="54">
        <v>211.5</v>
      </c>
    </row>
    <row r="72" spans="1:5">
      <c r="A72" s="54">
        <v>3314</v>
      </c>
      <c r="B72" s="54">
        <v>101326</v>
      </c>
      <c r="C72" s="54" t="s">
        <v>319</v>
      </c>
      <c r="D72" s="54" t="s">
        <v>482</v>
      </c>
      <c r="E72" s="54">
        <v>207</v>
      </c>
    </row>
    <row r="73" spans="1:5">
      <c r="A73" s="54">
        <v>3507</v>
      </c>
      <c r="B73" s="54">
        <v>101335</v>
      </c>
      <c r="C73" s="54" t="s">
        <v>352</v>
      </c>
      <c r="D73" s="54" t="s">
        <v>482</v>
      </c>
      <c r="E73" s="54">
        <v>176</v>
      </c>
    </row>
    <row r="74" spans="1:5">
      <c r="A74" s="54">
        <v>3506</v>
      </c>
      <c r="B74" s="54">
        <v>101334</v>
      </c>
      <c r="C74" s="54" t="s">
        <v>330</v>
      </c>
      <c r="D74" s="54" t="s">
        <v>482</v>
      </c>
      <c r="E74" s="54">
        <v>283</v>
      </c>
    </row>
    <row r="75" spans="1:5">
      <c r="A75" s="54">
        <v>2070</v>
      </c>
      <c r="B75" s="54">
        <v>101311</v>
      </c>
      <c r="C75" s="54" t="s">
        <v>280</v>
      </c>
      <c r="D75" s="54" t="s">
        <v>482</v>
      </c>
      <c r="E75" s="54">
        <v>240</v>
      </c>
    </row>
    <row r="76" spans="1:5">
      <c r="A76" s="54">
        <v>3316</v>
      </c>
      <c r="B76" s="54">
        <v>101328</v>
      </c>
      <c r="C76" s="54" t="s">
        <v>283</v>
      </c>
      <c r="D76" s="54" t="s">
        <v>482</v>
      </c>
      <c r="E76" s="54">
        <v>210</v>
      </c>
    </row>
    <row r="77" spans="1:5">
      <c r="A77" s="54">
        <v>2055</v>
      </c>
      <c r="B77" s="54">
        <v>101299</v>
      </c>
      <c r="C77" s="54" t="s">
        <v>284</v>
      </c>
      <c r="D77" s="54" t="s">
        <v>482</v>
      </c>
      <c r="E77" s="54">
        <v>232</v>
      </c>
    </row>
    <row r="78" spans="1:5">
      <c r="A78" s="54">
        <v>2057</v>
      </c>
      <c r="B78" s="54">
        <v>101301</v>
      </c>
      <c r="C78" s="54" t="s">
        <v>356</v>
      </c>
      <c r="D78" s="54" t="s">
        <v>482</v>
      </c>
      <c r="E78" s="54">
        <v>511</v>
      </c>
    </row>
    <row r="79" spans="1:5">
      <c r="A79" s="54">
        <v>2076</v>
      </c>
      <c r="B79" s="54">
        <v>131617</v>
      </c>
      <c r="C79" s="54" t="s">
        <v>285</v>
      </c>
      <c r="D79" s="54" t="s">
        <v>482</v>
      </c>
      <c r="E79" s="54">
        <v>343.5</v>
      </c>
    </row>
    <row r="80" spans="1:5">
      <c r="A80" s="54">
        <v>2060</v>
      </c>
      <c r="B80" s="54">
        <v>101304</v>
      </c>
      <c r="C80" s="54" t="s">
        <v>286</v>
      </c>
      <c r="D80" s="54" t="s">
        <v>482</v>
      </c>
      <c r="E80" s="54">
        <v>438.5</v>
      </c>
    </row>
    <row r="81" spans="1:5">
      <c r="A81" s="54">
        <v>3518</v>
      </c>
      <c r="B81" s="54">
        <v>134677</v>
      </c>
      <c r="C81" s="54" t="s">
        <v>109</v>
      </c>
      <c r="D81" s="54" t="s">
        <v>482</v>
      </c>
      <c r="E81" s="54">
        <v>429.5</v>
      </c>
    </row>
    <row r="82" spans="1:5">
      <c r="A82" s="54">
        <v>2054</v>
      </c>
      <c r="B82" s="54">
        <v>101298</v>
      </c>
      <c r="C82" s="54" t="s">
        <v>287</v>
      </c>
      <c r="D82" s="54" t="s">
        <v>482</v>
      </c>
      <c r="E82" s="54">
        <v>207</v>
      </c>
    </row>
    <row r="83" spans="1:5">
      <c r="A83" s="54">
        <v>3521</v>
      </c>
      <c r="B83" s="54">
        <v>103119</v>
      </c>
      <c r="C83" s="54" t="s">
        <v>360</v>
      </c>
      <c r="D83" s="54" t="s">
        <v>482</v>
      </c>
      <c r="E83" s="54">
        <v>1567</v>
      </c>
    </row>
    <row r="84" spans="1:5">
      <c r="A84" s="54">
        <v>4003</v>
      </c>
      <c r="B84" s="54">
        <v>101345</v>
      </c>
      <c r="C84" s="54" t="s">
        <v>113</v>
      </c>
      <c r="D84" s="54" t="s">
        <v>482</v>
      </c>
      <c r="E84" s="54">
        <v>726</v>
      </c>
    </row>
    <row r="85" spans="1:5">
      <c r="A85" s="54">
        <v>5405</v>
      </c>
      <c r="B85" s="54">
        <v>101362</v>
      </c>
      <c r="C85" s="54" t="s">
        <v>112</v>
      </c>
      <c r="D85" s="54" t="s">
        <v>482</v>
      </c>
      <c r="E85" s="54">
        <v>1199</v>
      </c>
    </row>
    <row r="86" spans="1:5">
      <c r="A86" s="54">
        <v>5427</v>
      </c>
      <c r="B86" s="54">
        <v>135747</v>
      </c>
      <c r="C86" s="54" t="s">
        <v>301</v>
      </c>
      <c r="D86" s="54" t="s">
        <v>482</v>
      </c>
      <c r="E86" s="54">
        <v>1335</v>
      </c>
    </row>
    <row r="87" spans="1:5">
      <c r="A87" s="54">
        <v>4004</v>
      </c>
      <c r="B87" s="54">
        <v>142627</v>
      </c>
      <c r="C87" s="54" t="s">
        <v>355</v>
      </c>
      <c r="D87" s="54" t="s">
        <v>482</v>
      </c>
      <c r="E87" s="54">
        <v>377</v>
      </c>
    </row>
    <row r="88" spans="1:5">
      <c r="A88" s="54">
        <v>5407</v>
      </c>
      <c r="B88" s="54">
        <v>101364</v>
      </c>
      <c r="C88" s="54" t="s">
        <v>114</v>
      </c>
      <c r="D88" s="54" t="s">
        <v>482</v>
      </c>
      <c r="E88" s="54">
        <v>1283</v>
      </c>
    </row>
    <row r="89" spans="1:5">
      <c r="A89" s="54">
        <v>5404</v>
      </c>
      <c r="B89" s="54">
        <v>101361</v>
      </c>
      <c r="C89" s="54" t="s">
        <v>288</v>
      </c>
      <c r="D89" s="54" t="s">
        <v>482</v>
      </c>
      <c r="E89" s="54">
        <v>857</v>
      </c>
    </row>
    <row r="90" spans="1:5">
      <c r="A90" s="54">
        <v>7010</v>
      </c>
      <c r="B90" s="54">
        <v>101397</v>
      </c>
      <c r="C90" s="54" t="s">
        <v>117</v>
      </c>
      <c r="D90" s="54" t="s">
        <v>482</v>
      </c>
      <c r="E90" s="54">
        <v>104</v>
      </c>
    </row>
    <row r="91" spans="1:5">
      <c r="A91" s="54">
        <v>7005</v>
      </c>
      <c r="B91" s="54">
        <v>101395</v>
      </c>
      <c r="C91" s="54" t="s">
        <v>118</v>
      </c>
      <c r="D91" s="54" t="s">
        <v>482</v>
      </c>
      <c r="E91" s="54">
        <v>124</v>
      </c>
    </row>
    <row r="92" spans="1:5">
      <c r="A92" s="54">
        <v>7009</v>
      </c>
      <c r="B92" s="54">
        <v>101396</v>
      </c>
      <c r="C92" s="54" t="s">
        <v>353</v>
      </c>
      <c r="D92" s="54" t="s">
        <v>482</v>
      </c>
      <c r="E92" s="54">
        <v>138</v>
      </c>
    </row>
    <row r="93" spans="1:5">
      <c r="A93" s="54">
        <v>1102</v>
      </c>
      <c r="B93" s="54">
        <v>133749</v>
      </c>
      <c r="C93" s="54" t="s">
        <v>327</v>
      </c>
      <c r="D93" s="54" t="s">
        <v>482</v>
      </c>
      <c r="E93" s="54">
        <v>30</v>
      </c>
    </row>
    <row r="94" spans="1:5">
      <c r="A94" s="54">
        <v>1100</v>
      </c>
      <c r="B94" s="54">
        <v>101255</v>
      </c>
      <c r="C94" s="54" t="s">
        <v>308</v>
      </c>
      <c r="D94" s="54" t="s">
        <v>482</v>
      </c>
      <c r="E94" s="54">
        <v>107</v>
      </c>
    </row>
    <row r="95" spans="1:5">
      <c r="E95" s="54">
        <f>SUM(E6:E94)-E57-E58</f>
        <v>32851.5</v>
      </c>
    </row>
  </sheetData>
  <autoFilter ref="C2:E94" xr:uid="{00000000-0009-0000-0000-000000000000}"/>
  <sortState xmlns:xlrd2="http://schemas.microsoft.com/office/spreadsheetml/2017/richdata2" ref="A7:F56">
    <sortCondition ref="C7:C56"/>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034C3-9A50-4944-AA15-89A5CF55C281}">
  <dimension ref="A1:V117"/>
  <sheetViews>
    <sheetView topLeftCell="G96" workbookViewId="0">
      <selection activeCell="I9" sqref="I9"/>
    </sheetView>
  </sheetViews>
  <sheetFormatPr defaultRowHeight="15"/>
  <cols>
    <col min="1" max="5" width="9.140625" style="68"/>
    <col min="6" max="6" width="44.5703125" style="68" bestFit="1" customWidth="1"/>
    <col min="7" max="16384" width="9.140625" style="68"/>
  </cols>
  <sheetData>
    <row r="1" spans="1:22" ht="15.75">
      <c r="A1" s="58" t="s">
        <v>488</v>
      </c>
      <c r="B1" s="58"/>
      <c r="C1" s="59"/>
      <c r="D1" s="60"/>
      <c r="E1" s="59"/>
      <c r="F1" s="60"/>
      <c r="G1" s="61"/>
      <c r="H1" s="61"/>
      <c r="I1" s="62"/>
      <c r="J1" s="62"/>
      <c r="K1" s="62"/>
      <c r="L1" s="62"/>
      <c r="M1" s="63"/>
      <c r="N1" s="64"/>
      <c r="O1" s="65"/>
      <c r="P1" s="62"/>
      <c r="Q1" s="62"/>
      <c r="R1" s="63"/>
      <c r="S1" s="64"/>
      <c r="T1" s="61"/>
      <c r="U1" s="66"/>
      <c r="V1" s="67"/>
    </row>
    <row r="2" spans="1:22">
      <c r="A2" s="69" t="s">
        <v>489</v>
      </c>
      <c r="B2" s="70" t="s">
        <v>490</v>
      </c>
      <c r="C2" s="59"/>
      <c r="D2" s="60"/>
      <c r="E2" s="59"/>
      <c r="F2" s="60"/>
      <c r="G2" s="61"/>
      <c r="H2" s="61"/>
      <c r="I2" s="62"/>
      <c r="J2" s="62"/>
      <c r="K2" s="62"/>
      <c r="L2" s="62"/>
      <c r="M2" s="63"/>
      <c r="N2" s="64"/>
      <c r="O2" s="65"/>
      <c r="P2" s="62"/>
      <c r="Q2" s="62"/>
      <c r="R2" s="63"/>
      <c r="S2" s="64"/>
      <c r="T2" s="61"/>
      <c r="U2" s="66"/>
      <c r="V2" s="67"/>
    </row>
    <row r="3" spans="1:22">
      <c r="A3" s="71" t="s">
        <v>491</v>
      </c>
      <c r="B3" s="71"/>
      <c r="C3" s="72"/>
      <c r="D3" s="73"/>
      <c r="E3" s="72"/>
      <c r="F3" s="73"/>
      <c r="G3" s="71"/>
      <c r="H3" s="71"/>
      <c r="I3" s="74"/>
      <c r="J3" s="74"/>
      <c r="K3" s="74"/>
      <c r="L3" s="74"/>
      <c r="M3" s="75"/>
      <c r="N3" s="64"/>
      <c r="O3" s="65"/>
      <c r="P3" s="62"/>
      <c r="Q3" s="62"/>
      <c r="R3" s="63"/>
      <c r="S3" s="64"/>
      <c r="T3" s="61"/>
      <c r="U3" s="66"/>
      <c r="V3" s="67"/>
    </row>
    <row r="4" spans="1:22">
      <c r="A4" s="76" t="s">
        <v>492</v>
      </c>
      <c r="B4" s="76"/>
      <c r="C4" s="72"/>
      <c r="D4" s="72"/>
      <c r="E4" s="72"/>
      <c r="F4" s="72"/>
      <c r="G4" s="76"/>
      <c r="H4" s="76"/>
      <c r="I4" s="77"/>
      <c r="J4" s="77"/>
      <c r="K4" s="77"/>
      <c r="L4" s="77"/>
      <c r="M4" s="78"/>
      <c r="N4" s="64"/>
      <c r="O4" s="65"/>
      <c r="P4" s="62"/>
      <c r="Q4" s="62"/>
      <c r="R4" s="63"/>
      <c r="S4" s="64"/>
      <c r="T4" s="61"/>
      <c r="U4" s="66"/>
      <c r="V4" s="67"/>
    </row>
    <row r="5" spans="1:22">
      <c r="A5" s="79" t="s">
        <v>493</v>
      </c>
      <c r="B5" s="79"/>
      <c r="C5" s="80"/>
      <c r="D5" s="81"/>
      <c r="E5" s="80"/>
      <c r="F5" s="81"/>
      <c r="G5" s="79"/>
      <c r="H5" s="79"/>
      <c r="I5" s="82"/>
      <c r="J5" s="82"/>
      <c r="K5" s="82"/>
      <c r="L5" s="82"/>
      <c r="M5" s="83"/>
      <c r="N5" s="64"/>
      <c r="O5" s="65"/>
      <c r="P5" s="62"/>
      <c r="Q5" s="62"/>
      <c r="R5" s="63"/>
      <c r="S5" s="64"/>
      <c r="T5" s="61"/>
      <c r="U5" s="66"/>
      <c r="V5" s="67"/>
    </row>
    <row r="6" spans="1:22">
      <c r="A6" s="84" t="s">
        <v>494</v>
      </c>
      <c r="B6" s="61"/>
      <c r="C6" s="61"/>
      <c r="D6" s="61"/>
      <c r="E6" s="61"/>
      <c r="F6" s="61"/>
      <c r="G6" s="85"/>
      <c r="H6" s="85"/>
      <c r="I6" s="86"/>
      <c r="J6" s="86"/>
      <c r="K6" s="86"/>
      <c r="L6" s="86"/>
      <c r="M6" s="87"/>
      <c r="N6" s="64"/>
      <c r="O6" s="64"/>
      <c r="P6" s="65"/>
      <c r="Q6" s="62"/>
      <c r="R6" s="62"/>
      <c r="S6" s="61"/>
      <c r="T6" s="64"/>
      <c r="U6" s="61"/>
      <c r="V6" s="66"/>
    </row>
    <row r="7" spans="1:22">
      <c r="A7" s="88" t="s">
        <v>495</v>
      </c>
      <c r="B7" s="88"/>
      <c r="C7" s="89"/>
      <c r="D7" s="89"/>
      <c r="E7" s="89"/>
      <c r="F7" s="89"/>
      <c r="G7" s="90"/>
      <c r="H7" s="90"/>
      <c r="I7" s="91"/>
      <c r="J7" s="91"/>
      <c r="K7" s="91"/>
      <c r="L7" s="91"/>
      <c r="M7" s="90"/>
      <c r="N7" s="92"/>
      <c r="O7" s="92"/>
      <c r="P7" s="90"/>
      <c r="Q7" s="91"/>
      <c r="R7" s="91"/>
      <c r="S7" s="61"/>
      <c r="T7" s="64"/>
      <c r="U7" s="61"/>
      <c r="V7" s="66"/>
    </row>
    <row r="8" spans="1:22">
      <c r="A8" s="463" t="s">
        <v>496</v>
      </c>
      <c r="B8" s="463"/>
      <c r="C8" s="463"/>
      <c r="D8" s="463"/>
      <c r="E8" s="463"/>
      <c r="F8" s="463"/>
      <c r="G8" s="93"/>
      <c r="H8" s="93"/>
      <c r="I8" s="93"/>
      <c r="J8" s="91"/>
      <c r="K8" s="91"/>
      <c r="L8" s="91"/>
      <c r="M8" s="90"/>
      <c r="N8" s="92"/>
      <c r="O8" s="92"/>
      <c r="P8" s="90"/>
      <c r="Q8" s="91"/>
      <c r="R8" s="91"/>
      <c r="S8" s="61"/>
      <c r="T8" s="64"/>
      <c r="U8" s="61"/>
      <c r="V8" s="66"/>
    </row>
    <row r="9" spans="1:22">
      <c r="A9" s="464" t="s">
        <v>497</v>
      </c>
      <c r="B9" s="464"/>
      <c r="C9" s="464"/>
      <c r="D9" s="464"/>
      <c r="E9" s="464"/>
      <c r="F9" s="464"/>
      <c r="G9" s="94"/>
      <c r="H9" s="94"/>
      <c r="I9" s="94"/>
      <c r="J9" s="91"/>
      <c r="K9" s="91"/>
      <c r="L9" s="91"/>
      <c r="M9" s="90"/>
      <c r="N9" s="92"/>
      <c r="O9" s="92"/>
      <c r="P9" s="90"/>
      <c r="Q9" s="91"/>
      <c r="R9" s="91"/>
      <c r="S9" s="61"/>
      <c r="T9" s="64"/>
      <c r="U9" s="61"/>
      <c r="V9" s="66"/>
    </row>
    <row r="10" spans="1:22">
      <c r="A10" s="464" t="s">
        <v>498</v>
      </c>
      <c r="B10" s="464"/>
      <c r="C10" s="464"/>
      <c r="D10" s="464"/>
      <c r="E10" s="464"/>
      <c r="F10" s="464"/>
      <c r="G10" s="94"/>
      <c r="H10" s="94"/>
      <c r="I10" s="94"/>
      <c r="J10" s="95"/>
      <c r="K10" s="95"/>
      <c r="L10" s="95"/>
      <c r="M10" s="96"/>
      <c r="N10" s="97"/>
      <c r="O10" s="97"/>
      <c r="P10" s="96"/>
      <c r="Q10" s="62"/>
      <c r="R10" s="62"/>
      <c r="S10" s="61"/>
      <c r="T10" s="64"/>
      <c r="U10" s="61"/>
      <c r="V10" s="66"/>
    </row>
    <row r="11" spans="1:22">
      <c r="A11" s="461" t="s">
        <v>499</v>
      </c>
      <c r="B11" s="461"/>
      <c r="C11" s="461"/>
      <c r="D11" s="461"/>
      <c r="E11" s="461"/>
      <c r="F11" s="461"/>
      <c r="G11" s="90"/>
      <c r="H11" s="90"/>
      <c r="I11" s="90"/>
      <c r="J11" s="95"/>
      <c r="K11" s="95"/>
      <c r="L11" s="95"/>
      <c r="M11" s="96"/>
      <c r="N11" s="97"/>
      <c r="O11" s="97"/>
      <c r="P11" s="96"/>
      <c r="Q11" s="62"/>
      <c r="R11" s="62"/>
      <c r="S11" s="61"/>
      <c r="T11" s="64"/>
      <c r="U11" s="61"/>
      <c r="V11" s="66"/>
    </row>
    <row r="12" spans="1:22">
      <c r="A12" s="461" t="s">
        <v>500</v>
      </c>
      <c r="B12" s="461"/>
      <c r="C12" s="461"/>
      <c r="D12" s="461"/>
      <c r="E12" s="461"/>
      <c r="F12" s="461"/>
      <c r="G12" s="90"/>
      <c r="H12" s="90"/>
      <c r="I12" s="90"/>
      <c r="J12" s="91"/>
      <c r="K12" s="91"/>
      <c r="L12" s="91"/>
      <c r="M12" s="90"/>
      <c r="N12" s="92"/>
      <c r="O12" s="92"/>
      <c r="P12" s="90"/>
      <c r="Q12" s="91"/>
      <c r="R12" s="91"/>
      <c r="S12" s="90"/>
      <c r="T12" s="64"/>
      <c r="U12" s="61"/>
      <c r="V12" s="66"/>
    </row>
    <row r="13" spans="1:22">
      <c r="A13" s="461" t="s">
        <v>501</v>
      </c>
      <c r="B13" s="461"/>
      <c r="C13" s="461"/>
      <c r="D13" s="461"/>
      <c r="E13" s="461"/>
      <c r="F13" s="461"/>
      <c r="G13" s="90"/>
      <c r="H13" s="90"/>
      <c r="I13" s="90"/>
      <c r="J13" s="91"/>
      <c r="K13" s="91"/>
      <c r="L13" s="91"/>
      <c r="M13" s="90"/>
      <c r="N13" s="92"/>
      <c r="O13" s="92"/>
      <c r="P13" s="90"/>
      <c r="Q13" s="91"/>
      <c r="R13" s="91"/>
      <c r="S13" s="90"/>
      <c r="T13" s="64"/>
      <c r="U13" s="61"/>
      <c r="V13" s="66"/>
    </row>
    <row r="14" spans="1:22">
      <c r="A14" s="461" t="s">
        <v>502</v>
      </c>
      <c r="B14" s="461"/>
      <c r="C14" s="461"/>
      <c r="D14" s="461"/>
      <c r="E14" s="461"/>
      <c r="F14" s="461"/>
      <c r="G14" s="90"/>
      <c r="H14" s="90"/>
      <c r="I14" s="90"/>
      <c r="J14" s="91"/>
      <c r="K14" s="91"/>
      <c r="L14" s="91"/>
      <c r="M14" s="90"/>
      <c r="N14" s="92"/>
      <c r="O14" s="92"/>
      <c r="P14" s="90"/>
      <c r="Q14" s="91"/>
      <c r="R14" s="91"/>
      <c r="S14" s="90"/>
      <c r="T14" s="64"/>
      <c r="U14" s="61"/>
      <c r="V14" s="66"/>
    </row>
    <row r="15" spans="1:22" ht="18" customHeight="1">
      <c r="A15" s="461" t="s">
        <v>503</v>
      </c>
      <c r="B15" s="461"/>
      <c r="C15" s="461"/>
      <c r="D15" s="461"/>
      <c r="E15" s="461"/>
      <c r="F15" s="461"/>
      <c r="G15" s="90"/>
      <c r="H15" s="90"/>
      <c r="I15" s="90"/>
      <c r="J15" s="95"/>
      <c r="K15" s="95"/>
      <c r="L15" s="95"/>
      <c r="M15" s="96"/>
      <c r="N15" s="97"/>
      <c r="O15" s="97"/>
      <c r="P15" s="96"/>
      <c r="Q15" s="95"/>
      <c r="R15" s="95"/>
      <c r="S15" s="96"/>
      <c r="T15" s="64"/>
      <c r="U15" s="61"/>
      <c r="V15" s="66"/>
    </row>
    <row r="16" spans="1:22" ht="22.5" customHeight="1">
      <c r="A16" s="461" t="s">
        <v>504</v>
      </c>
      <c r="B16" s="461"/>
      <c r="C16" s="461"/>
      <c r="D16" s="461"/>
      <c r="E16" s="461"/>
      <c r="F16" s="461"/>
      <c r="G16" s="90"/>
      <c r="H16" s="90"/>
      <c r="I16" s="90"/>
      <c r="J16" s="95"/>
      <c r="K16" s="95"/>
      <c r="L16" s="95"/>
      <c r="M16" s="96"/>
      <c r="N16" s="97"/>
      <c r="O16" s="97"/>
      <c r="P16" s="96"/>
      <c r="Q16" s="95"/>
      <c r="R16" s="95"/>
      <c r="S16" s="96"/>
      <c r="T16" s="64"/>
      <c r="U16" s="61"/>
      <c r="V16" s="66"/>
    </row>
    <row r="17" spans="1:22">
      <c r="A17" s="465" t="s">
        <v>505</v>
      </c>
      <c r="B17" s="465"/>
      <c r="C17" s="465"/>
      <c r="D17" s="465"/>
      <c r="E17" s="465"/>
      <c r="F17" s="465"/>
      <c r="G17" s="90"/>
      <c r="H17" s="90"/>
      <c r="I17" s="90"/>
      <c r="J17" s="95"/>
      <c r="K17" s="95"/>
      <c r="L17" s="95"/>
      <c r="M17" s="96"/>
      <c r="N17" s="97"/>
      <c r="O17" s="97"/>
      <c r="P17" s="96"/>
      <c r="Q17" s="95"/>
      <c r="R17" s="95"/>
      <c r="S17" s="96"/>
      <c r="T17" s="64"/>
      <c r="U17" s="61"/>
      <c r="V17" s="66"/>
    </row>
    <row r="18" spans="1:22">
      <c r="A18" s="461" t="s">
        <v>506</v>
      </c>
      <c r="B18" s="461"/>
      <c r="C18" s="461"/>
      <c r="D18" s="461"/>
      <c r="E18" s="461"/>
      <c r="F18" s="461"/>
      <c r="G18" s="90"/>
      <c r="H18" s="90"/>
      <c r="I18" s="90"/>
      <c r="J18" s="98"/>
      <c r="K18" s="98"/>
      <c r="L18" s="98"/>
      <c r="M18" s="99"/>
      <c r="N18" s="64"/>
      <c r="O18" s="64"/>
      <c r="P18" s="65"/>
      <c r="Q18" s="62"/>
      <c r="R18" s="62"/>
      <c r="S18" s="61"/>
      <c r="T18" s="64"/>
      <c r="U18" s="61"/>
      <c r="V18" s="66"/>
    </row>
    <row r="19" spans="1:22">
      <c r="A19" s="461" t="s">
        <v>507</v>
      </c>
      <c r="B19" s="461"/>
      <c r="C19" s="461"/>
      <c r="D19" s="461"/>
      <c r="E19" s="461"/>
      <c r="F19" s="461"/>
      <c r="G19" s="90"/>
      <c r="H19" s="90"/>
      <c r="I19" s="90"/>
      <c r="J19" s="98"/>
      <c r="K19" s="98"/>
      <c r="L19" s="98"/>
      <c r="M19" s="99"/>
      <c r="N19" s="64"/>
      <c r="O19" s="64"/>
      <c r="P19" s="65"/>
      <c r="Q19" s="62"/>
      <c r="R19" s="62"/>
      <c r="S19" s="61"/>
      <c r="T19" s="64"/>
      <c r="U19" s="61"/>
      <c r="V19" s="66"/>
    </row>
    <row r="20" spans="1:22" ht="59.25" customHeight="1">
      <c r="A20" s="461" t="s">
        <v>508</v>
      </c>
      <c r="B20" s="461"/>
      <c r="C20" s="461"/>
      <c r="D20" s="461"/>
      <c r="E20" s="461"/>
      <c r="F20" s="461"/>
      <c r="G20" s="90"/>
      <c r="H20" s="90"/>
      <c r="I20" s="90"/>
      <c r="J20" s="98"/>
      <c r="K20" s="98"/>
      <c r="L20" s="98"/>
      <c r="M20" s="99"/>
      <c r="N20" s="64"/>
      <c r="O20" s="64"/>
      <c r="P20" s="65"/>
      <c r="Q20" s="62"/>
      <c r="R20" s="62"/>
      <c r="S20" s="61"/>
      <c r="T20" s="64"/>
      <c r="U20" s="61"/>
      <c r="V20" s="66"/>
    </row>
    <row r="21" spans="1:22" ht="40.5" customHeight="1">
      <c r="A21" s="461" t="s">
        <v>509</v>
      </c>
      <c r="B21" s="461"/>
      <c r="C21" s="461"/>
      <c r="D21" s="461"/>
      <c r="E21" s="461"/>
      <c r="F21" s="461"/>
      <c r="G21" s="85"/>
      <c r="H21" s="85"/>
      <c r="I21" s="98"/>
      <c r="J21" s="98"/>
      <c r="K21" s="98"/>
      <c r="L21" s="98"/>
      <c r="M21" s="99"/>
      <c r="N21" s="64"/>
      <c r="O21" s="64"/>
      <c r="P21" s="65"/>
      <c r="Q21" s="62"/>
      <c r="R21" s="62"/>
      <c r="S21" s="61"/>
      <c r="T21" s="64"/>
      <c r="U21" s="61"/>
      <c r="V21" s="66"/>
    </row>
    <row r="22" spans="1:22" ht="27" customHeight="1">
      <c r="A22" s="462" t="s">
        <v>510</v>
      </c>
      <c r="B22" s="462"/>
      <c r="C22" s="462"/>
      <c r="D22" s="462"/>
      <c r="E22" s="462"/>
      <c r="F22" s="462"/>
      <c r="G22" s="61"/>
      <c r="H22" s="61"/>
      <c r="I22" s="61"/>
      <c r="J22" s="61"/>
      <c r="K22" s="61"/>
      <c r="L22" s="61"/>
      <c r="M22" s="61"/>
      <c r="N22" s="61"/>
      <c r="O22" s="61"/>
      <c r="P22" s="61"/>
      <c r="Q22" s="61"/>
      <c r="R22" s="61"/>
      <c r="S22" s="61"/>
      <c r="T22" s="61"/>
      <c r="U22" s="61"/>
      <c r="V22" s="61"/>
    </row>
    <row r="23" spans="1:22">
      <c r="A23" s="462" t="s">
        <v>511</v>
      </c>
      <c r="B23" s="462"/>
      <c r="C23" s="462"/>
      <c r="D23" s="462"/>
      <c r="E23" s="462"/>
      <c r="F23" s="462"/>
      <c r="G23" s="61"/>
      <c r="H23" s="61"/>
      <c r="I23" s="61"/>
      <c r="J23" s="61"/>
      <c r="K23" s="61"/>
      <c r="L23" s="61"/>
      <c r="M23" s="61"/>
      <c r="N23" s="61"/>
      <c r="O23" s="61"/>
      <c r="P23" s="61"/>
      <c r="Q23" s="61"/>
      <c r="R23" s="61"/>
      <c r="S23" s="61"/>
      <c r="T23" s="61"/>
      <c r="U23" s="61"/>
      <c r="V23" s="61"/>
    </row>
    <row r="24" spans="1:22" ht="25.5" customHeight="1">
      <c r="A24" s="462" t="s">
        <v>512</v>
      </c>
      <c r="B24" s="462"/>
      <c r="C24" s="462"/>
      <c r="D24" s="462"/>
      <c r="E24" s="462"/>
      <c r="F24" s="462"/>
      <c r="G24" s="61"/>
      <c r="H24" s="61"/>
      <c r="I24" s="61"/>
      <c r="J24" s="61"/>
      <c r="K24" s="61"/>
      <c r="L24" s="61"/>
      <c r="M24" s="61"/>
      <c r="N24" s="61"/>
      <c r="O24" s="61"/>
      <c r="P24" s="61"/>
      <c r="Q24" s="61"/>
      <c r="R24" s="61"/>
      <c r="S24" s="61"/>
      <c r="T24" s="61"/>
      <c r="U24" s="61"/>
      <c r="V24" s="61"/>
    </row>
    <row r="25" spans="1:22">
      <c r="A25" s="462"/>
      <c r="B25" s="462"/>
      <c r="C25" s="462"/>
      <c r="D25" s="462"/>
      <c r="E25" s="462"/>
      <c r="F25" s="462"/>
      <c r="G25" s="61"/>
      <c r="H25" s="61"/>
      <c r="I25" s="61"/>
      <c r="J25" s="61"/>
      <c r="K25" s="61"/>
      <c r="L25" s="61"/>
      <c r="M25" s="61"/>
      <c r="N25" s="61"/>
      <c r="O25" s="61"/>
      <c r="P25" s="61"/>
      <c r="Q25" s="61"/>
      <c r="R25" s="61"/>
      <c r="S25" s="61"/>
      <c r="T25" s="61"/>
      <c r="U25" s="61"/>
      <c r="V25" s="61"/>
    </row>
    <row r="26" spans="1:22">
      <c r="A26" s="61"/>
      <c r="B26" s="61"/>
      <c r="C26" s="61"/>
      <c r="D26" s="61"/>
      <c r="E26" s="61"/>
      <c r="F26" s="61"/>
      <c r="G26" s="61"/>
      <c r="H26" s="61"/>
      <c r="I26" s="61"/>
      <c r="J26" s="61"/>
      <c r="K26" s="61"/>
      <c r="L26" s="61"/>
      <c r="M26" s="61"/>
      <c r="N26" s="61"/>
      <c r="O26" s="61"/>
      <c r="P26" s="61"/>
      <c r="Q26" s="61"/>
      <c r="R26" s="61"/>
      <c r="S26" s="61"/>
      <c r="T26" s="61"/>
      <c r="U26" s="61"/>
      <c r="V26" s="61"/>
    </row>
    <row r="27" spans="1:22">
      <c r="A27" s="100"/>
      <c r="B27" s="85"/>
      <c r="C27" s="85"/>
      <c r="D27" s="85"/>
      <c r="E27" s="101">
        <v>1</v>
      </c>
      <c r="F27" s="101">
        <v>2</v>
      </c>
      <c r="G27" s="101">
        <v>3</v>
      </c>
      <c r="H27" s="101">
        <v>4</v>
      </c>
      <c r="I27" s="101">
        <v>5</v>
      </c>
      <c r="J27" s="101">
        <v>6</v>
      </c>
      <c r="K27" s="101">
        <v>7</v>
      </c>
      <c r="L27" s="101">
        <v>8</v>
      </c>
      <c r="M27" s="101">
        <v>9</v>
      </c>
      <c r="N27" s="101">
        <v>10</v>
      </c>
      <c r="O27" s="101">
        <v>11</v>
      </c>
      <c r="P27" s="101">
        <v>12</v>
      </c>
      <c r="Q27" s="101">
        <v>13</v>
      </c>
      <c r="R27" s="101">
        <v>14</v>
      </c>
      <c r="S27" s="101">
        <v>15</v>
      </c>
      <c r="T27" s="101">
        <v>16</v>
      </c>
      <c r="U27" s="101">
        <v>17</v>
      </c>
      <c r="V27" s="101">
        <v>18</v>
      </c>
    </row>
    <row r="28" spans="1:22">
      <c r="A28" s="102"/>
      <c r="B28" s="103"/>
      <c r="C28" s="104"/>
      <c r="D28" s="104"/>
      <c r="E28" s="104"/>
      <c r="F28" s="103"/>
      <c r="G28" s="103"/>
      <c r="H28" s="103"/>
      <c r="I28" s="105"/>
      <c r="J28" s="105"/>
      <c r="K28" s="458" t="s">
        <v>513</v>
      </c>
      <c r="L28" s="458"/>
      <c r="M28" s="458"/>
      <c r="N28" s="458"/>
      <c r="O28" s="458"/>
      <c r="P28" s="458"/>
      <c r="Q28" s="458"/>
      <c r="R28" s="458"/>
      <c r="S28" s="458"/>
      <c r="T28" s="106"/>
      <c r="U28" s="459" t="s">
        <v>514</v>
      </c>
      <c r="V28" s="459"/>
    </row>
    <row r="29" spans="1:22">
      <c r="A29" s="107"/>
      <c r="B29" s="108"/>
      <c r="C29" s="109"/>
      <c r="D29" s="109"/>
      <c r="E29" s="109"/>
      <c r="F29" s="108"/>
      <c r="G29" s="108"/>
      <c r="H29" s="108"/>
      <c r="I29" s="110"/>
      <c r="J29" s="110"/>
      <c r="K29" s="460" t="s">
        <v>515</v>
      </c>
      <c r="L29" s="460"/>
      <c r="M29" s="460"/>
      <c r="N29" s="460"/>
      <c r="O29" s="90"/>
      <c r="P29" s="460" t="s">
        <v>516</v>
      </c>
      <c r="Q29" s="460"/>
      <c r="R29" s="460"/>
      <c r="S29" s="460"/>
      <c r="T29" s="61"/>
      <c r="U29" s="111"/>
      <c r="V29" s="112"/>
    </row>
    <row r="30" spans="1:22" ht="102">
      <c r="A30" s="113" t="s">
        <v>479</v>
      </c>
      <c r="B30" s="113" t="s">
        <v>341</v>
      </c>
      <c r="C30" s="113" t="s">
        <v>517</v>
      </c>
      <c r="D30" s="113" t="s">
        <v>518</v>
      </c>
      <c r="E30" s="113" t="s">
        <v>519</v>
      </c>
      <c r="F30" s="113" t="s">
        <v>121</v>
      </c>
      <c r="G30" s="114" t="s">
        <v>343</v>
      </c>
      <c r="H30" s="115" t="s">
        <v>520</v>
      </c>
      <c r="I30" s="116" t="s">
        <v>521</v>
      </c>
      <c r="J30" s="117"/>
      <c r="K30" s="116" t="s">
        <v>522</v>
      </c>
      <c r="L30" s="118" t="s">
        <v>523</v>
      </c>
      <c r="M30" s="119" t="s">
        <v>524</v>
      </c>
      <c r="N30" s="120" t="s">
        <v>525</v>
      </c>
      <c r="O30" s="121"/>
      <c r="P30" s="116" t="s">
        <v>526</v>
      </c>
      <c r="Q30" s="122" t="s">
        <v>527</v>
      </c>
      <c r="R30" s="123" t="s">
        <v>528</v>
      </c>
      <c r="S30" s="120" t="s">
        <v>529</v>
      </c>
      <c r="T30" s="61"/>
      <c r="U30" s="124" t="s">
        <v>530</v>
      </c>
      <c r="V30" s="125" t="s">
        <v>531</v>
      </c>
    </row>
    <row r="31" spans="1:22">
      <c r="A31" s="126">
        <v>101258</v>
      </c>
      <c r="B31" s="127">
        <v>3022002</v>
      </c>
      <c r="C31" s="126">
        <v>302</v>
      </c>
      <c r="D31" s="128" t="s">
        <v>354</v>
      </c>
      <c r="E31" s="127">
        <v>2002</v>
      </c>
      <c r="F31" s="129" t="s">
        <v>251</v>
      </c>
      <c r="G31" s="128" t="s">
        <v>532</v>
      </c>
      <c r="H31" s="129" t="s">
        <v>533</v>
      </c>
      <c r="I31" s="130">
        <v>415</v>
      </c>
      <c r="J31" s="131"/>
      <c r="K31" s="130">
        <v>415</v>
      </c>
      <c r="L31" s="130">
        <v>120</v>
      </c>
      <c r="M31" s="132">
        <v>0.28915662650602408</v>
      </c>
      <c r="N31" s="133">
        <v>161400</v>
      </c>
      <c r="O31" s="134"/>
      <c r="P31" s="130">
        <v>0</v>
      </c>
      <c r="Q31" s="130">
        <v>0</v>
      </c>
      <c r="R31" s="132">
        <v>0</v>
      </c>
      <c r="S31" s="133">
        <v>0</v>
      </c>
      <c r="T31" s="126"/>
      <c r="U31" s="135">
        <v>120</v>
      </c>
      <c r="V31" s="136">
        <v>161400</v>
      </c>
    </row>
    <row r="32" spans="1:22">
      <c r="A32" s="126">
        <v>101259</v>
      </c>
      <c r="B32" s="127">
        <v>3022003</v>
      </c>
      <c r="C32" s="126">
        <v>302</v>
      </c>
      <c r="D32" s="128" t="s">
        <v>354</v>
      </c>
      <c r="E32" s="127">
        <v>2003</v>
      </c>
      <c r="F32" s="129" t="s">
        <v>253</v>
      </c>
      <c r="G32" s="128" t="s">
        <v>532</v>
      </c>
      <c r="H32" s="129" t="s">
        <v>533</v>
      </c>
      <c r="I32" s="130">
        <v>353</v>
      </c>
      <c r="J32" s="131"/>
      <c r="K32" s="130">
        <v>353</v>
      </c>
      <c r="L32" s="130">
        <v>139</v>
      </c>
      <c r="M32" s="132">
        <v>0.39376770538243627</v>
      </c>
      <c r="N32" s="133">
        <v>186955</v>
      </c>
      <c r="O32" s="134"/>
      <c r="P32" s="130">
        <v>0</v>
      </c>
      <c r="Q32" s="130">
        <v>0</v>
      </c>
      <c r="R32" s="132">
        <v>0</v>
      </c>
      <c r="S32" s="133">
        <v>0</v>
      </c>
      <c r="T32" s="126"/>
      <c r="U32" s="135">
        <v>139</v>
      </c>
      <c r="V32" s="136">
        <v>186955</v>
      </c>
    </row>
    <row r="33" spans="1:22">
      <c r="A33" s="126">
        <v>101262</v>
      </c>
      <c r="B33" s="127">
        <v>3022007</v>
      </c>
      <c r="C33" s="126">
        <v>302</v>
      </c>
      <c r="D33" s="128" t="s">
        <v>354</v>
      </c>
      <c r="E33" s="127">
        <v>2007</v>
      </c>
      <c r="F33" s="129" t="s">
        <v>41</v>
      </c>
      <c r="G33" s="128" t="s">
        <v>532</v>
      </c>
      <c r="H33" s="129" t="s">
        <v>534</v>
      </c>
      <c r="I33" s="130">
        <v>358</v>
      </c>
      <c r="J33" s="131"/>
      <c r="K33" s="130">
        <v>358</v>
      </c>
      <c r="L33" s="130">
        <v>73</v>
      </c>
      <c r="M33" s="132">
        <v>0.20391061452513967</v>
      </c>
      <c r="N33" s="133">
        <v>98185</v>
      </c>
      <c r="O33" s="134"/>
      <c r="P33" s="130">
        <v>0</v>
      </c>
      <c r="Q33" s="130">
        <v>0</v>
      </c>
      <c r="R33" s="132">
        <v>0</v>
      </c>
      <c r="S33" s="133">
        <v>0</v>
      </c>
      <c r="T33" s="126"/>
      <c r="U33" s="135">
        <v>73</v>
      </c>
      <c r="V33" s="136">
        <v>98185</v>
      </c>
    </row>
    <row r="34" spans="1:22">
      <c r="A34" s="126">
        <v>101263</v>
      </c>
      <c r="B34" s="127">
        <v>3022008</v>
      </c>
      <c r="C34" s="126">
        <v>302</v>
      </c>
      <c r="D34" s="128" t="s">
        <v>354</v>
      </c>
      <c r="E34" s="127">
        <v>2008</v>
      </c>
      <c r="F34" s="129" t="s">
        <v>254</v>
      </c>
      <c r="G34" s="128" t="s">
        <v>532</v>
      </c>
      <c r="H34" s="129" t="s">
        <v>534</v>
      </c>
      <c r="I34" s="130">
        <v>269</v>
      </c>
      <c r="J34" s="131"/>
      <c r="K34" s="130">
        <v>269</v>
      </c>
      <c r="L34" s="130">
        <v>43</v>
      </c>
      <c r="M34" s="132">
        <v>0.15985130111524162</v>
      </c>
      <c r="N34" s="133">
        <v>57835</v>
      </c>
      <c r="O34" s="134"/>
      <c r="P34" s="130">
        <v>0</v>
      </c>
      <c r="Q34" s="130">
        <v>0</v>
      </c>
      <c r="R34" s="132">
        <v>0</v>
      </c>
      <c r="S34" s="133">
        <v>0</v>
      </c>
      <c r="T34" s="126"/>
      <c r="U34" s="135">
        <v>43</v>
      </c>
      <c r="V34" s="136">
        <v>57835</v>
      </c>
    </row>
    <row r="35" spans="1:22">
      <c r="A35" s="126">
        <v>101264</v>
      </c>
      <c r="B35" s="127">
        <v>3022009</v>
      </c>
      <c r="C35" s="126">
        <v>302</v>
      </c>
      <c r="D35" s="128" t="s">
        <v>354</v>
      </c>
      <c r="E35" s="127">
        <v>2009</v>
      </c>
      <c r="F35" s="129" t="s">
        <v>255</v>
      </c>
      <c r="G35" s="128" t="s">
        <v>532</v>
      </c>
      <c r="H35" s="129" t="s">
        <v>535</v>
      </c>
      <c r="I35" s="130">
        <v>418.5</v>
      </c>
      <c r="J35" s="131"/>
      <c r="K35" s="130">
        <v>418.5</v>
      </c>
      <c r="L35" s="130">
        <v>82</v>
      </c>
      <c r="M35" s="132">
        <v>0.1959378733572282</v>
      </c>
      <c r="N35" s="133">
        <v>110290</v>
      </c>
      <c r="O35" s="134"/>
      <c r="P35" s="130">
        <v>0</v>
      </c>
      <c r="Q35" s="130">
        <v>0</v>
      </c>
      <c r="R35" s="132">
        <v>0</v>
      </c>
      <c r="S35" s="133">
        <v>0</v>
      </c>
      <c r="T35" s="126"/>
      <c r="U35" s="135">
        <v>82</v>
      </c>
      <c r="V35" s="136">
        <v>110290</v>
      </c>
    </row>
    <row r="36" spans="1:22">
      <c r="A36" s="126">
        <v>101266</v>
      </c>
      <c r="B36" s="127">
        <v>3022011</v>
      </c>
      <c r="C36" s="126">
        <v>302</v>
      </c>
      <c r="D36" s="128" t="s">
        <v>354</v>
      </c>
      <c r="E36" s="127">
        <v>2011</v>
      </c>
      <c r="F36" s="129" t="s">
        <v>46</v>
      </c>
      <c r="G36" s="128" t="s">
        <v>532</v>
      </c>
      <c r="H36" s="129" t="s">
        <v>535</v>
      </c>
      <c r="I36" s="130">
        <v>209</v>
      </c>
      <c r="J36" s="131"/>
      <c r="K36" s="130">
        <v>209</v>
      </c>
      <c r="L36" s="130">
        <v>33</v>
      </c>
      <c r="M36" s="132">
        <v>0.15789473684210525</v>
      </c>
      <c r="N36" s="133">
        <v>44385</v>
      </c>
      <c r="O36" s="134"/>
      <c r="P36" s="130">
        <v>0</v>
      </c>
      <c r="Q36" s="130">
        <v>0</v>
      </c>
      <c r="R36" s="132">
        <v>0</v>
      </c>
      <c r="S36" s="133">
        <v>0</v>
      </c>
      <c r="T36" s="126"/>
      <c r="U36" s="135">
        <v>33</v>
      </c>
      <c r="V36" s="136">
        <v>44385</v>
      </c>
    </row>
    <row r="37" spans="1:22">
      <c r="A37" s="126">
        <v>101269</v>
      </c>
      <c r="B37" s="127">
        <v>3022014</v>
      </c>
      <c r="C37" s="126">
        <v>302</v>
      </c>
      <c r="D37" s="128" t="s">
        <v>354</v>
      </c>
      <c r="E37" s="127">
        <v>2014</v>
      </c>
      <c r="F37" s="129" t="s">
        <v>258</v>
      </c>
      <c r="G37" s="128" t="s">
        <v>532</v>
      </c>
      <c r="H37" s="129" t="s">
        <v>533</v>
      </c>
      <c r="I37" s="130">
        <v>628</v>
      </c>
      <c r="J37" s="131"/>
      <c r="K37" s="130">
        <v>628</v>
      </c>
      <c r="L37" s="130">
        <v>207</v>
      </c>
      <c r="M37" s="132">
        <v>0.32961783439490444</v>
      </c>
      <c r="N37" s="133">
        <v>278415</v>
      </c>
      <c r="O37" s="134"/>
      <c r="P37" s="130">
        <v>0</v>
      </c>
      <c r="Q37" s="130">
        <v>0</v>
      </c>
      <c r="R37" s="132">
        <v>0</v>
      </c>
      <c r="S37" s="133">
        <v>0</v>
      </c>
      <c r="T37" s="126"/>
      <c r="U37" s="135">
        <v>207</v>
      </c>
      <c r="V37" s="136">
        <v>278415</v>
      </c>
    </row>
    <row r="38" spans="1:22">
      <c r="A38" s="126">
        <v>101270</v>
      </c>
      <c r="B38" s="127">
        <v>3022015</v>
      </c>
      <c r="C38" s="126">
        <v>302</v>
      </c>
      <c r="D38" s="128" t="s">
        <v>354</v>
      </c>
      <c r="E38" s="127">
        <v>2015</v>
      </c>
      <c r="F38" s="129" t="s">
        <v>259</v>
      </c>
      <c r="G38" s="128" t="s">
        <v>532</v>
      </c>
      <c r="H38" s="129" t="s">
        <v>535</v>
      </c>
      <c r="I38" s="130">
        <v>210</v>
      </c>
      <c r="J38" s="131"/>
      <c r="K38" s="130">
        <v>210</v>
      </c>
      <c r="L38" s="130">
        <v>73</v>
      </c>
      <c r="M38" s="132">
        <v>0.34761904761904761</v>
      </c>
      <c r="N38" s="133">
        <v>98185</v>
      </c>
      <c r="O38" s="134"/>
      <c r="P38" s="130">
        <v>0</v>
      </c>
      <c r="Q38" s="130">
        <v>0</v>
      </c>
      <c r="R38" s="132">
        <v>0</v>
      </c>
      <c r="S38" s="133">
        <v>0</v>
      </c>
      <c r="T38" s="126"/>
      <c r="U38" s="135">
        <v>73</v>
      </c>
      <c r="V38" s="136">
        <v>98185</v>
      </c>
    </row>
    <row r="39" spans="1:22">
      <c r="A39" s="126">
        <v>101271</v>
      </c>
      <c r="B39" s="127">
        <v>3022016</v>
      </c>
      <c r="C39" s="126">
        <v>302</v>
      </c>
      <c r="D39" s="128" t="s">
        <v>354</v>
      </c>
      <c r="E39" s="127">
        <v>2016</v>
      </c>
      <c r="F39" s="129" t="s">
        <v>50</v>
      </c>
      <c r="G39" s="128" t="s">
        <v>532</v>
      </c>
      <c r="H39" s="129" t="s">
        <v>533</v>
      </c>
      <c r="I39" s="130">
        <v>210</v>
      </c>
      <c r="J39" s="131"/>
      <c r="K39" s="130">
        <v>210</v>
      </c>
      <c r="L39" s="130">
        <v>20</v>
      </c>
      <c r="M39" s="132">
        <v>9.5238095238095233E-2</v>
      </c>
      <c r="N39" s="133">
        <v>26900</v>
      </c>
      <c r="O39" s="134"/>
      <c r="P39" s="130">
        <v>0</v>
      </c>
      <c r="Q39" s="130">
        <v>0</v>
      </c>
      <c r="R39" s="132">
        <v>0</v>
      </c>
      <c r="S39" s="133">
        <v>0</v>
      </c>
      <c r="T39" s="126"/>
      <c r="U39" s="135">
        <v>20</v>
      </c>
      <c r="V39" s="136">
        <v>26900</v>
      </c>
    </row>
    <row r="40" spans="1:22">
      <c r="A40" s="126">
        <v>101272</v>
      </c>
      <c r="B40" s="127">
        <v>3022017</v>
      </c>
      <c r="C40" s="126">
        <v>302</v>
      </c>
      <c r="D40" s="128" t="s">
        <v>354</v>
      </c>
      <c r="E40" s="127">
        <v>2017</v>
      </c>
      <c r="F40" s="129" t="s">
        <v>260</v>
      </c>
      <c r="G40" s="128" t="s">
        <v>532</v>
      </c>
      <c r="H40" s="129" t="s">
        <v>535</v>
      </c>
      <c r="I40" s="130">
        <v>402</v>
      </c>
      <c r="J40" s="131"/>
      <c r="K40" s="130">
        <v>402</v>
      </c>
      <c r="L40" s="130">
        <v>99</v>
      </c>
      <c r="M40" s="132">
        <v>0.2462686567164179</v>
      </c>
      <c r="N40" s="133">
        <v>133155</v>
      </c>
      <c r="O40" s="134"/>
      <c r="P40" s="130">
        <v>0</v>
      </c>
      <c r="Q40" s="130">
        <v>0</v>
      </c>
      <c r="R40" s="132">
        <v>0</v>
      </c>
      <c r="S40" s="133">
        <v>0</v>
      </c>
      <c r="T40" s="126"/>
      <c r="U40" s="135">
        <v>99</v>
      </c>
      <c r="V40" s="136">
        <v>133155</v>
      </c>
    </row>
    <row r="41" spans="1:22">
      <c r="A41" s="126">
        <v>101274</v>
      </c>
      <c r="B41" s="127">
        <v>3022019</v>
      </c>
      <c r="C41" s="126">
        <v>302</v>
      </c>
      <c r="D41" s="128" t="s">
        <v>354</v>
      </c>
      <c r="E41" s="127">
        <v>2019</v>
      </c>
      <c r="F41" s="129" t="s">
        <v>53</v>
      </c>
      <c r="G41" s="128" t="s">
        <v>532</v>
      </c>
      <c r="H41" s="129" t="s">
        <v>533</v>
      </c>
      <c r="I41" s="130">
        <v>213</v>
      </c>
      <c r="J41" s="131"/>
      <c r="K41" s="130">
        <v>213</v>
      </c>
      <c r="L41" s="130">
        <v>39</v>
      </c>
      <c r="M41" s="132">
        <v>0.18309859154929578</v>
      </c>
      <c r="N41" s="133">
        <v>52455</v>
      </c>
      <c r="O41" s="134"/>
      <c r="P41" s="130">
        <v>0</v>
      </c>
      <c r="Q41" s="130">
        <v>0</v>
      </c>
      <c r="R41" s="132">
        <v>0</v>
      </c>
      <c r="S41" s="133">
        <v>0</v>
      </c>
      <c r="T41" s="126"/>
      <c r="U41" s="135">
        <v>39</v>
      </c>
      <c r="V41" s="136">
        <v>52455</v>
      </c>
    </row>
    <row r="42" spans="1:22">
      <c r="A42" s="126">
        <v>101275</v>
      </c>
      <c r="B42" s="127">
        <v>3022021</v>
      </c>
      <c r="C42" s="126">
        <v>302</v>
      </c>
      <c r="D42" s="128" t="s">
        <v>354</v>
      </c>
      <c r="E42" s="127">
        <v>2021</v>
      </c>
      <c r="F42" s="129" t="s">
        <v>367</v>
      </c>
      <c r="G42" s="128" t="s">
        <v>532</v>
      </c>
      <c r="H42" s="129" t="s">
        <v>533</v>
      </c>
      <c r="I42" s="130">
        <v>443</v>
      </c>
      <c r="J42" s="131"/>
      <c r="K42" s="130">
        <v>443</v>
      </c>
      <c r="L42" s="130">
        <v>144</v>
      </c>
      <c r="M42" s="132">
        <v>0.32505643340857787</v>
      </c>
      <c r="N42" s="133">
        <v>193680</v>
      </c>
      <c r="O42" s="134"/>
      <c r="P42" s="130">
        <v>0</v>
      </c>
      <c r="Q42" s="130">
        <v>0</v>
      </c>
      <c r="R42" s="132">
        <v>0</v>
      </c>
      <c r="S42" s="133">
        <v>0</v>
      </c>
      <c r="T42" s="126"/>
      <c r="U42" s="135">
        <v>144</v>
      </c>
      <c r="V42" s="136">
        <v>193680</v>
      </c>
    </row>
    <row r="43" spans="1:22">
      <c r="A43" s="126">
        <v>101277</v>
      </c>
      <c r="B43" s="127">
        <v>3022023</v>
      </c>
      <c r="C43" s="126">
        <v>302</v>
      </c>
      <c r="D43" s="128" t="s">
        <v>354</v>
      </c>
      <c r="E43" s="127">
        <v>2023</v>
      </c>
      <c r="F43" s="129" t="s">
        <v>338</v>
      </c>
      <c r="G43" s="128" t="s">
        <v>532</v>
      </c>
      <c r="H43" s="129" t="s">
        <v>533</v>
      </c>
      <c r="I43" s="130">
        <v>501.5</v>
      </c>
      <c r="J43" s="131"/>
      <c r="K43" s="130">
        <v>501.5</v>
      </c>
      <c r="L43" s="130">
        <v>194.5</v>
      </c>
      <c r="M43" s="132">
        <v>0.38783649052841473</v>
      </c>
      <c r="N43" s="133">
        <v>261602.5</v>
      </c>
      <c r="O43" s="134"/>
      <c r="P43" s="130">
        <v>0</v>
      </c>
      <c r="Q43" s="130">
        <v>0</v>
      </c>
      <c r="R43" s="132">
        <v>0</v>
      </c>
      <c r="S43" s="133">
        <v>0</v>
      </c>
      <c r="T43" s="126"/>
      <c r="U43" s="135">
        <v>194.5</v>
      </c>
      <c r="V43" s="136">
        <v>261602.5</v>
      </c>
    </row>
    <row r="44" spans="1:22">
      <c r="A44" s="126">
        <v>101278</v>
      </c>
      <c r="B44" s="127">
        <v>3022024</v>
      </c>
      <c r="C44" s="126">
        <v>302</v>
      </c>
      <c r="D44" s="128" t="s">
        <v>354</v>
      </c>
      <c r="E44" s="127">
        <v>2024</v>
      </c>
      <c r="F44" s="129" t="s">
        <v>344</v>
      </c>
      <c r="G44" s="128" t="s">
        <v>532</v>
      </c>
      <c r="H44" s="129" t="s">
        <v>533</v>
      </c>
      <c r="I44" s="130">
        <v>196.5</v>
      </c>
      <c r="J44" s="131"/>
      <c r="K44" s="130">
        <v>196.5</v>
      </c>
      <c r="L44" s="130">
        <v>66.5</v>
      </c>
      <c r="M44" s="132">
        <v>0.33842239185750639</v>
      </c>
      <c r="N44" s="133">
        <v>89442.5</v>
      </c>
      <c r="O44" s="134"/>
      <c r="P44" s="130">
        <v>0</v>
      </c>
      <c r="Q44" s="130">
        <v>0</v>
      </c>
      <c r="R44" s="132">
        <v>0</v>
      </c>
      <c r="S44" s="133">
        <v>0</v>
      </c>
      <c r="T44" s="126"/>
      <c r="U44" s="135">
        <v>66.5</v>
      </c>
      <c r="V44" s="136">
        <v>89442.5</v>
      </c>
    </row>
    <row r="45" spans="1:22">
      <c r="A45" s="126">
        <v>101279</v>
      </c>
      <c r="B45" s="127">
        <v>3022025</v>
      </c>
      <c r="C45" s="126">
        <v>302</v>
      </c>
      <c r="D45" s="128" t="s">
        <v>354</v>
      </c>
      <c r="E45" s="127">
        <v>2025</v>
      </c>
      <c r="F45" s="129" t="s">
        <v>59</v>
      </c>
      <c r="G45" s="128" t="s">
        <v>532</v>
      </c>
      <c r="H45" s="129" t="s">
        <v>535</v>
      </c>
      <c r="I45" s="130">
        <v>318</v>
      </c>
      <c r="J45" s="131"/>
      <c r="K45" s="130">
        <v>318</v>
      </c>
      <c r="L45" s="130">
        <v>7</v>
      </c>
      <c r="M45" s="132">
        <v>2.20125786163522E-2</v>
      </c>
      <c r="N45" s="133">
        <v>9415</v>
      </c>
      <c r="O45" s="134"/>
      <c r="P45" s="130">
        <v>0</v>
      </c>
      <c r="Q45" s="130">
        <v>0</v>
      </c>
      <c r="R45" s="132">
        <v>0</v>
      </c>
      <c r="S45" s="133">
        <v>0</v>
      </c>
      <c r="T45" s="126"/>
      <c r="U45" s="135">
        <v>7</v>
      </c>
      <c r="V45" s="136">
        <v>9415</v>
      </c>
    </row>
    <row r="46" spans="1:22">
      <c r="A46" s="126">
        <v>101280</v>
      </c>
      <c r="B46" s="127">
        <v>3022026</v>
      </c>
      <c r="C46" s="126">
        <v>302</v>
      </c>
      <c r="D46" s="128" t="s">
        <v>354</v>
      </c>
      <c r="E46" s="127">
        <v>2026</v>
      </c>
      <c r="F46" s="129" t="s">
        <v>262</v>
      </c>
      <c r="G46" s="128" t="s">
        <v>532</v>
      </c>
      <c r="H46" s="129" t="s">
        <v>533</v>
      </c>
      <c r="I46" s="130">
        <v>497</v>
      </c>
      <c r="J46" s="131"/>
      <c r="K46" s="130">
        <v>497</v>
      </c>
      <c r="L46" s="130">
        <v>69</v>
      </c>
      <c r="M46" s="132">
        <v>0.13883299798792756</v>
      </c>
      <c r="N46" s="133">
        <v>92805</v>
      </c>
      <c r="O46" s="134"/>
      <c r="P46" s="130">
        <v>0</v>
      </c>
      <c r="Q46" s="130">
        <v>0</v>
      </c>
      <c r="R46" s="132">
        <v>0</v>
      </c>
      <c r="S46" s="133">
        <v>0</v>
      </c>
      <c r="T46" s="126"/>
      <c r="U46" s="135">
        <v>69</v>
      </c>
      <c r="V46" s="136">
        <v>92805</v>
      </c>
    </row>
    <row r="47" spans="1:22">
      <c r="A47" s="126">
        <v>101281</v>
      </c>
      <c r="B47" s="127">
        <v>3022027</v>
      </c>
      <c r="C47" s="126">
        <v>302</v>
      </c>
      <c r="D47" s="128" t="s">
        <v>354</v>
      </c>
      <c r="E47" s="127">
        <v>2027</v>
      </c>
      <c r="F47" s="129" t="s">
        <v>62</v>
      </c>
      <c r="G47" s="128" t="s">
        <v>532</v>
      </c>
      <c r="H47" s="129" t="s">
        <v>534</v>
      </c>
      <c r="I47" s="130">
        <v>351</v>
      </c>
      <c r="J47" s="131"/>
      <c r="K47" s="130">
        <v>351</v>
      </c>
      <c r="L47" s="130">
        <v>65</v>
      </c>
      <c r="M47" s="132">
        <v>0.18518518518518517</v>
      </c>
      <c r="N47" s="133">
        <v>87425</v>
      </c>
      <c r="O47" s="134"/>
      <c r="P47" s="130">
        <v>0</v>
      </c>
      <c r="Q47" s="130">
        <v>0</v>
      </c>
      <c r="R47" s="132">
        <v>0</v>
      </c>
      <c r="S47" s="133">
        <v>0</v>
      </c>
      <c r="T47" s="126"/>
      <c r="U47" s="135">
        <v>65</v>
      </c>
      <c r="V47" s="136">
        <v>87425</v>
      </c>
    </row>
    <row r="48" spans="1:22">
      <c r="A48" s="126">
        <v>101282</v>
      </c>
      <c r="B48" s="127">
        <v>3022028</v>
      </c>
      <c r="C48" s="126">
        <v>302</v>
      </c>
      <c r="D48" s="128" t="s">
        <v>354</v>
      </c>
      <c r="E48" s="127">
        <v>2028</v>
      </c>
      <c r="F48" s="129" t="s">
        <v>61</v>
      </c>
      <c r="G48" s="128" t="s">
        <v>532</v>
      </c>
      <c r="H48" s="129" t="s">
        <v>534</v>
      </c>
      <c r="I48" s="130">
        <v>233</v>
      </c>
      <c r="J48" s="131"/>
      <c r="K48" s="130">
        <v>233</v>
      </c>
      <c r="L48" s="130">
        <v>47</v>
      </c>
      <c r="M48" s="132">
        <v>0.20171673819742489</v>
      </c>
      <c r="N48" s="133">
        <v>63215</v>
      </c>
      <c r="O48" s="134"/>
      <c r="P48" s="130">
        <v>0</v>
      </c>
      <c r="Q48" s="130">
        <v>0</v>
      </c>
      <c r="R48" s="132">
        <v>0</v>
      </c>
      <c r="S48" s="133">
        <v>0</v>
      </c>
      <c r="T48" s="126"/>
      <c r="U48" s="135">
        <v>47</v>
      </c>
      <c r="V48" s="136">
        <v>63215</v>
      </c>
    </row>
    <row r="49" spans="1:22">
      <c r="A49" s="126">
        <v>101283</v>
      </c>
      <c r="B49" s="127">
        <v>3022029</v>
      </c>
      <c r="C49" s="126">
        <v>302</v>
      </c>
      <c r="D49" s="128" t="s">
        <v>354</v>
      </c>
      <c r="E49" s="127">
        <v>2029</v>
      </c>
      <c r="F49" s="129" t="s">
        <v>263</v>
      </c>
      <c r="G49" s="128" t="s">
        <v>532</v>
      </c>
      <c r="H49" s="129" t="s">
        <v>533</v>
      </c>
      <c r="I49" s="130">
        <v>414</v>
      </c>
      <c r="J49" s="131"/>
      <c r="K49" s="130">
        <v>414</v>
      </c>
      <c r="L49" s="130">
        <v>155</v>
      </c>
      <c r="M49" s="132">
        <v>0.37439613526570048</v>
      </c>
      <c r="N49" s="133">
        <v>208475</v>
      </c>
      <c r="O49" s="134"/>
      <c r="P49" s="130">
        <v>0</v>
      </c>
      <c r="Q49" s="130">
        <v>0</v>
      </c>
      <c r="R49" s="132">
        <v>0</v>
      </c>
      <c r="S49" s="133">
        <v>0</v>
      </c>
      <c r="T49" s="126"/>
      <c r="U49" s="135">
        <v>155</v>
      </c>
      <c r="V49" s="136">
        <v>208475</v>
      </c>
    </row>
    <row r="50" spans="1:22">
      <c r="A50" s="126">
        <v>101285</v>
      </c>
      <c r="B50" s="127">
        <v>3022031</v>
      </c>
      <c r="C50" s="126">
        <v>302</v>
      </c>
      <c r="D50" s="128" t="s">
        <v>354</v>
      </c>
      <c r="E50" s="127">
        <v>2031</v>
      </c>
      <c r="F50" s="129" t="s">
        <v>264</v>
      </c>
      <c r="G50" s="128" t="s">
        <v>532</v>
      </c>
      <c r="H50" s="129" t="s">
        <v>535</v>
      </c>
      <c r="I50" s="130">
        <v>186</v>
      </c>
      <c r="J50" s="131"/>
      <c r="K50" s="130">
        <v>186</v>
      </c>
      <c r="L50" s="130">
        <v>61</v>
      </c>
      <c r="M50" s="132">
        <v>0.32795698924731181</v>
      </c>
      <c r="N50" s="133">
        <v>82045</v>
      </c>
      <c r="O50" s="134"/>
      <c r="P50" s="130">
        <v>0</v>
      </c>
      <c r="Q50" s="130">
        <v>0</v>
      </c>
      <c r="R50" s="132">
        <v>0</v>
      </c>
      <c r="S50" s="133">
        <v>0</v>
      </c>
      <c r="T50" s="126"/>
      <c r="U50" s="135">
        <v>61</v>
      </c>
      <c r="V50" s="136">
        <v>82045</v>
      </c>
    </row>
    <row r="51" spans="1:22">
      <c r="A51" s="126">
        <v>101286</v>
      </c>
      <c r="B51" s="127">
        <v>3022032</v>
      </c>
      <c r="C51" s="126">
        <v>302</v>
      </c>
      <c r="D51" s="128" t="s">
        <v>354</v>
      </c>
      <c r="E51" s="127">
        <v>2032</v>
      </c>
      <c r="F51" s="129" t="s">
        <v>265</v>
      </c>
      <c r="G51" s="128" t="s">
        <v>532</v>
      </c>
      <c r="H51" s="129" t="s">
        <v>535</v>
      </c>
      <c r="I51" s="130">
        <v>438</v>
      </c>
      <c r="J51" s="131"/>
      <c r="K51" s="130">
        <v>438</v>
      </c>
      <c r="L51" s="130">
        <v>84</v>
      </c>
      <c r="M51" s="132">
        <v>0.19178082191780821</v>
      </c>
      <c r="N51" s="133">
        <v>112980</v>
      </c>
      <c r="O51" s="134"/>
      <c r="P51" s="130">
        <v>0</v>
      </c>
      <c r="Q51" s="130">
        <v>0</v>
      </c>
      <c r="R51" s="132">
        <v>0</v>
      </c>
      <c r="S51" s="133">
        <v>0</v>
      </c>
      <c r="T51" s="126"/>
      <c r="U51" s="135">
        <v>84</v>
      </c>
      <c r="V51" s="136">
        <v>112980</v>
      </c>
    </row>
    <row r="52" spans="1:22">
      <c r="A52" s="126">
        <v>101289</v>
      </c>
      <c r="B52" s="127">
        <v>3022036</v>
      </c>
      <c r="C52" s="126">
        <v>302</v>
      </c>
      <c r="D52" s="128" t="s">
        <v>354</v>
      </c>
      <c r="E52" s="127">
        <v>2036</v>
      </c>
      <c r="F52" s="129" t="s">
        <v>345</v>
      </c>
      <c r="G52" s="128" t="s">
        <v>532</v>
      </c>
      <c r="H52" s="129" t="s">
        <v>535</v>
      </c>
      <c r="I52" s="130">
        <v>236</v>
      </c>
      <c r="J52" s="131"/>
      <c r="K52" s="130">
        <v>236</v>
      </c>
      <c r="L52" s="130">
        <v>103</v>
      </c>
      <c r="M52" s="132">
        <v>0.4364406779661017</v>
      </c>
      <c r="N52" s="133">
        <v>138535</v>
      </c>
      <c r="O52" s="134"/>
      <c r="P52" s="130">
        <v>0</v>
      </c>
      <c r="Q52" s="130">
        <v>0</v>
      </c>
      <c r="R52" s="132">
        <v>0</v>
      </c>
      <c r="S52" s="133">
        <v>0</v>
      </c>
      <c r="T52" s="126"/>
      <c r="U52" s="135">
        <v>103</v>
      </c>
      <c r="V52" s="136">
        <v>138535</v>
      </c>
    </row>
    <row r="53" spans="1:22">
      <c r="A53" s="126">
        <v>101290</v>
      </c>
      <c r="B53" s="127">
        <v>3022037</v>
      </c>
      <c r="C53" s="126">
        <v>302</v>
      </c>
      <c r="D53" s="128" t="s">
        <v>354</v>
      </c>
      <c r="E53" s="127">
        <v>2037</v>
      </c>
      <c r="F53" s="129" t="s">
        <v>267</v>
      </c>
      <c r="G53" s="128" t="s">
        <v>532</v>
      </c>
      <c r="H53" s="129" t="s">
        <v>534</v>
      </c>
      <c r="I53" s="130">
        <v>265</v>
      </c>
      <c r="J53" s="131"/>
      <c r="K53" s="130">
        <v>265</v>
      </c>
      <c r="L53" s="130">
        <v>43</v>
      </c>
      <c r="M53" s="132">
        <v>0.16226415094339622</v>
      </c>
      <c r="N53" s="133">
        <v>57835</v>
      </c>
      <c r="O53" s="134"/>
      <c r="P53" s="130">
        <v>0</v>
      </c>
      <c r="Q53" s="130">
        <v>0</v>
      </c>
      <c r="R53" s="132">
        <v>0</v>
      </c>
      <c r="S53" s="133">
        <v>0</v>
      </c>
      <c r="T53" s="126"/>
      <c r="U53" s="135">
        <v>43</v>
      </c>
      <c r="V53" s="136">
        <v>57835</v>
      </c>
    </row>
    <row r="54" spans="1:22">
      <c r="A54" s="126">
        <v>101293</v>
      </c>
      <c r="B54" s="127">
        <v>3022042</v>
      </c>
      <c r="C54" s="126">
        <v>302</v>
      </c>
      <c r="D54" s="128" t="s">
        <v>354</v>
      </c>
      <c r="E54" s="127">
        <v>2042</v>
      </c>
      <c r="F54" s="129" t="s">
        <v>271</v>
      </c>
      <c r="G54" s="128" t="s">
        <v>532</v>
      </c>
      <c r="H54" s="129" t="s">
        <v>535</v>
      </c>
      <c r="I54" s="130">
        <v>425</v>
      </c>
      <c r="J54" s="131"/>
      <c r="K54" s="130">
        <v>425</v>
      </c>
      <c r="L54" s="130">
        <v>33</v>
      </c>
      <c r="M54" s="132">
        <v>7.7647058823529416E-2</v>
      </c>
      <c r="N54" s="133">
        <v>44385</v>
      </c>
      <c r="O54" s="134"/>
      <c r="P54" s="130">
        <v>0</v>
      </c>
      <c r="Q54" s="130">
        <v>0</v>
      </c>
      <c r="R54" s="132">
        <v>0</v>
      </c>
      <c r="S54" s="133">
        <v>0</v>
      </c>
      <c r="T54" s="126"/>
      <c r="U54" s="135">
        <v>33</v>
      </c>
      <c r="V54" s="136">
        <v>44385</v>
      </c>
    </row>
    <row r="55" spans="1:22">
      <c r="A55" s="126">
        <v>101294</v>
      </c>
      <c r="B55" s="127">
        <v>3022043</v>
      </c>
      <c r="C55" s="126">
        <v>302</v>
      </c>
      <c r="D55" s="128" t="s">
        <v>354</v>
      </c>
      <c r="E55" s="127">
        <v>2043</v>
      </c>
      <c r="F55" s="129" t="s">
        <v>77</v>
      </c>
      <c r="G55" s="128" t="s">
        <v>532</v>
      </c>
      <c r="H55" s="129" t="s">
        <v>534</v>
      </c>
      <c r="I55" s="130">
        <v>447</v>
      </c>
      <c r="J55" s="131"/>
      <c r="K55" s="130">
        <v>447</v>
      </c>
      <c r="L55" s="130">
        <v>89</v>
      </c>
      <c r="M55" s="132">
        <v>0.19910514541387025</v>
      </c>
      <c r="N55" s="133">
        <v>119705</v>
      </c>
      <c r="O55" s="134"/>
      <c r="P55" s="130">
        <v>0</v>
      </c>
      <c r="Q55" s="130">
        <v>0</v>
      </c>
      <c r="R55" s="132">
        <v>0</v>
      </c>
      <c r="S55" s="133">
        <v>0</v>
      </c>
      <c r="T55" s="126"/>
      <c r="U55" s="135">
        <v>89</v>
      </c>
      <c r="V55" s="136">
        <v>119705</v>
      </c>
    </row>
    <row r="56" spans="1:22">
      <c r="A56" s="126">
        <v>101295</v>
      </c>
      <c r="B56" s="127">
        <v>3022044</v>
      </c>
      <c r="C56" s="126">
        <v>302</v>
      </c>
      <c r="D56" s="128" t="s">
        <v>354</v>
      </c>
      <c r="E56" s="127">
        <v>2044</v>
      </c>
      <c r="F56" s="129" t="s">
        <v>76</v>
      </c>
      <c r="G56" s="128" t="s">
        <v>532</v>
      </c>
      <c r="H56" s="129" t="s">
        <v>534</v>
      </c>
      <c r="I56" s="130">
        <v>351</v>
      </c>
      <c r="J56" s="131"/>
      <c r="K56" s="130">
        <v>351</v>
      </c>
      <c r="L56" s="130">
        <v>32</v>
      </c>
      <c r="M56" s="132">
        <v>9.1168091168091173E-2</v>
      </c>
      <c r="N56" s="133">
        <v>43040</v>
      </c>
      <c r="O56" s="134"/>
      <c r="P56" s="130">
        <v>0</v>
      </c>
      <c r="Q56" s="130">
        <v>0</v>
      </c>
      <c r="R56" s="132">
        <v>0</v>
      </c>
      <c r="S56" s="133">
        <v>0</v>
      </c>
      <c r="T56" s="126"/>
      <c r="U56" s="135">
        <v>32</v>
      </c>
      <c r="V56" s="136">
        <v>43040</v>
      </c>
    </row>
    <row r="57" spans="1:22">
      <c r="A57" s="126">
        <v>101296</v>
      </c>
      <c r="B57" s="127">
        <v>3022045</v>
      </c>
      <c r="C57" s="126">
        <v>302</v>
      </c>
      <c r="D57" s="128" t="s">
        <v>354</v>
      </c>
      <c r="E57" s="127">
        <v>2045</v>
      </c>
      <c r="F57" s="129" t="s">
        <v>272</v>
      </c>
      <c r="G57" s="128" t="s">
        <v>532</v>
      </c>
      <c r="H57" s="129" t="s">
        <v>534</v>
      </c>
      <c r="I57" s="130">
        <v>211</v>
      </c>
      <c r="J57" s="131"/>
      <c r="K57" s="130">
        <v>211</v>
      </c>
      <c r="L57" s="130">
        <v>46</v>
      </c>
      <c r="M57" s="132">
        <v>0.21800947867298578</v>
      </c>
      <c r="N57" s="133">
        <v>61870</v>
      </c>
      <c r="O57" s="134"/>
      <c r="P57" s="130">
        <v>0</v>
      </c>
      <c r="Q57" s="130">
        <v>0</v>
      </c>
      <c r="R57" s="132">
        <v>0</v>
      </c>
      <c r="S57" s="133">
        <v>0</v>
      </c>
      <c r="T57" s="126"/>
      <c r="U57" s="135">
        <v>46</v>
      </c>
      <c r="V57" s="136">
        <v>61870</v>
      </c>
    </row>
    <row r="58" spans="1:22">
      <c r="A58" s="126">
        <v>146803</v>
      </c>
      <c r="B58" s="127">
        <v>3022053</v>
      </c>
      <c r="C58" s="126">
        <v>302</v>
      </c>
      <c r="D58" s="128" t="s">
        <v>354</v>
      </c>
      <c r="E58" s="127">
        <v>2053</v>
      </c>
      <c r="F58" s="129" t="s">
        <v>370</v>
      </c>
      <c r="G58" s="128" t="s">
        <v>532</v>
      </c>
      <c r="H58" s="129" t="s">
        <v>533</v>
      </c>
      <c r="I58" s="130">
        <v>197</v>
      </c>
      <c r="J58" s="131"/>
      <c r="K58" s="130">
        <v>197</v>
      </c>
      <c r="L58" s="130">
        <v>2</v>
      </c>
      <c r="M58" s="132">
        <v>1.015228426395939E-2</v>
      </c>
      <c r="N58" s="133">
        <v>2690</v>
      </c>
      <c r="O58" s="134"/>
      <c r="P58" s="130">
        <v>0</v>
      </c>
      <c r="Q58" s="130">
        <v>0</v>
      </c>
      <c r="R58" s="132">
        <v>0</v>
      </c>
      <c r="S58" s="133">
        <v>0</v>
      </c>
      <c r="T58" s="126"/>
      <c r="U58" s="135">
        <v>2</v>
      </c>
      <c r="V58" s="136">
        <v>2690</v>
      </c>
    </row>
    <row r="59" spans="1:22">
      <c r="A59" s="126">
        <v>101298</v>
      </c>
      <c r="B59" s="127">
        <v>3022054</v>
      </c>
      <c r="C59" s="126">
        <v>302</v>
      </c>
      <c r="D59" s="128" t="s">
        <v>354</v>
      </c>
      <c r="E59" s="127">
        <v>2054</v>
      </c>
      <c r="F59" s="129" t="s">
        <v>287</v>
      </c>
      <c r="G59" s="128" t="s">
        <v>532</v>
      </c>
      <c r="H59" s="129" t="s">
        <v>535</v>
      </c>
      <c r="I59" s="130">
        <v>207</v>
      </c>
      <c r="J59" s="131"/>
      <c r="K59" s="130">
        <v>207</v>
      </c>
      <c r="L59" s="130">
        <v>12</v>
      </c>
      <c r="M59" s="132">
        <v>5.7971014492753624E-2</v>
      </c>
      <c r="N59" s="133">
        <v>16140</v>
      </c>
      <c r="O59" s="134"/>
      <c r="P59" s="130">
        <v>0</v>
      </c>
      <c r="Q59" s="130">
        <v>0</v>
      </c>
      <c r="R59" s="132">
        <v>0</v>
      </c>
      <c r="S59" s="133">
        <v>0</v>
      </c>
      <c r="T59" s="126"/>
      <c r="U59" s="135">
        <v>12</v>
      </c>
      <c r="V59" s="136">
        <v>16140</v>
      </c>
    </row>
    <row r="60" spans="1:22">
      <c r="A60" s="126">
        <v>101299</v>
      </c>
      <c r="B60" s="127">
        <v>3022055</v>
      </c>
      <c r="C60" s="126">
        <v>302</v>
      </c>
      <c r="D60" s="128" t="s">
        <v>354</v>
      </c>
      <c r="E60" s="127">
        <v>2055</v>
      </c>
      <c r="F60" s="129" t="s">
        <v>284</v>
      </c>
      <c r="G60" s="128" t="s">
        <v>532</v>
      </c>
      <c r="H60" s="129" t="s">
        <v>534</v>
      </c>
      <c r="I60" s="130">
        <v>200</v>
      </c>
      <c r="J60" s="131"/>
      <c r="K60" s="130">
        <v>200</v>
      </c>
      <c r="L60" s="130">
        <v>77</v>
      </c>
      <c r="M60" s="132">
        <v>0.38500000000000001</v>
      </c>
      <c r="N60" s="133">
        <v>103565</v>
      </c>
      <c r="O60" s="134"/>
      <c r="P60" s="130">
        <v>0</v>
      </c>
      <c r="Q60" s="130">
        <v>0</v>
      </c>
      <c r="R60" s="132">
        <v>0</v>
      </c>
      <c r="S60" s="133">
        <v>0</v>
      </c>
      <c r="T60" s="126"/>
      <c r="U60" s="135">
        <v>77</v>
      </c>
      <c r="V60" s="136">
        <v>103565</v>
      </c>
    </row>
    <row r="61" spans="1:22">
      <c r="A61" s="126">
        <v>101301</v>
      </c>
      <c r="B61" s="127">
        <v>3022057</v>
      </c>
      <c r="C61" s="126">
        <v>302</v>
      </c>
      <c r="D61" s="128" t="s">
        <v>354</v>
      </c>
      <c r="E61" s="127">
        <v>2057</v>
      </c>
      <c r="F61" s="129" t="s">
        <v>356</v>
      </c>
      <c r="G61" s="128" t="s">
        <v>532</v>
      </c>
      <c r="H61" s="129" t="s">
        <v>535</v>
      </c>
      <c r="I61" s="130">
        <v>449</v>
      </c>
      <c r="J61" s="131"/>
      <c r="K61" s="130">
        <v>449</v>
      </c>
      <c r="L61" s="130">
        <v>182</v>
      </c>
      <c r="M61" s="132">
        <v>0.40534521158129178</v>
      </c>
      <c r="N61" s="133">
        <v>244790</v>
      </c>
      <c r="O61" s="134"/>
      <c r="P61" s="130">
        <v>0</v>
      </c>
      <c r="Q61" s="130">
        <v>0</v>
      </c>
      <c r="R61" s="132">
        <v>0</v>
      </c>
      <c r="S61" s="133">
        <v>0</v>
      </c>
      <c r="T61" s="126"/>
      <c r="U61" s="135">
        <v>182</v>
      </c>
      <c r="V61" s="136">
        <v>244790</v>
      </c>
    </row>
    <row r="62" spans="1:22">
      <c r="A62" s="126">
        <v>101304</v>
      </c>
      <c r="B62" s="127">
        <v>3022060</v>
      </c>
      <c r="C62" s="126">
        <v>302</v>
      </c>
      <c r="D62" s="128" t="s">
        <v>354</v>
      </c>
      <c r="E62" s="127">
        <v>2060</v>
      </c>
      <c r="F62" s="129" t="s">
        <v>286</v>
      </c>
      <c r="G62" s="128" t="s">
        <v>532</v>
      </c>
      <c r="H62" s="129" t="s">
        <v>535</v>
      </c>
      <c r="I62" s="130">
        <v>421</v>
      </c>
      <c r="J62" s="131"/>
      <c r="K62" s="130">
        <v>421</v>
      </c>
      <c r="L62" s="130">
        <v>130</v>
      </c>
      <c r="M62" s="132">
        <v>0.30878859857482183</v>
      </c>
      <c r="N62" s="133">
        <v>174850</v>
      </c>
      <c r="O62" s="134"/>
      <c r="P62" s="130">
        <v>0</v>
      </c>
      <c r="Q62" s="130">
        <v>0</v>
      </c>
      <c r="R62" s="132">
        <v>0</v>
      </c>
      <c r="S62" s="133">
        <v>0</v>
      </c>
      <c r="T62" s="126"/>
      <c r="U62" s="135">
        <v>130</v>
      </c>
      <c r="V62" s="136">
        <v>174850</v>
      </c>
    </row>
    <row r="63" spans="1:22">
      <c r="A63" s="126">
        <v>101309</v>
      </c>
      <c r="B63" s="127">
        <v>3022067</v>
      </c>
      <c r="C63" s="126">
        <v>302</v>
      </c>
      <c r="D63" s="128" t="s">
        <v>354</v>
      </c>
      <c r="E63" s="127">
        <v>2067</v>
      </c>
      <c r="F63" s="129" t="s">
        <v>256</v>
      </c>
      <c r="G63" s="128" t="s">
        <v>532</v>
      </c>
      <c r="H63" s="129" t="s">
        <v>534</v>
      </c>
      <c r="I63" s="130">
        <v>234</v>
      </c>
      <c r="J63" s="131"/>
      <c r="K63" s="130">
        <v>234</v>
      </c>
      <c r="L63" s="130">
        <v>57</v>
      </c>
      <c r="M63" s="132">
        <v>0.24358974358974358</v>
      </c>
      <c r="N63" s="133">
        <v>76665</v>
      </c>
      <c r="O63" s="134"/>
      <c r="P63" s="130">
        <v>0</v>
      </c>
      <c r="Q63" s="130">
        <v>0</v>
      </c>
      <c r="R63" s="132">
        <v>0</v>
      </c>
      <c r="S63" s="133">
        <v>0</v>
      </c>
      <c r="T63" s="126"/>
      <c r="U63" s="135">
        <v>57</v>
      </c>
      <c r="V63" s="136">
        <v>76665</v>
      </c>
    </row>
    <row r="64" spans="1:22">
      <c r="A64" s="126">
        <v>101311</v>
      </c>
      <c r="B64" s="127">
        <v>3022070</v>
      </c>
      <c r="C64" s="126">
        <v>302</v>
      </c>
      <c r="D64" s="128" t="s">
        <v>354</v>
      </c>
      <c r="E64" s="127">
        <v>2070</v>
      </c>
      <c r="F64" s="129" t="s">
        <v>280</v>
      </c>
      <c r="G64" s="128" t="s">
        <v>532</v>
      </c>
      <c r="H64" s="129" t="s">
        <v>533</v>
      </c>
      <c r="I64" s="130">
        <v>209</v>
      </c>
      <c r="J64" s="131"/>
      <c r="K64" s="130">
        <v>209</v>
      </c>
      <c r="L64" s="130">
        <v>81</v>
      </c>
      <c r="M64" s="132">
        <v>0.38755980861244022</v>
      </c>
      <c r="N64" s="133">
        <v>108945</v>
      </c>
      <c r="O64" s="134"/>
      <c r="P64" s="130">
        <v>0</v>
      </c>
      <c r="Q64" s="130">
        <v>0</v>
      </c>
      <c r="R64" s="132">
        <v>0</v>
      </c>
      <c r="S64" s="133">
        <v>0</v>
      </c>
      <c r="T64" s="126"/>
      <c r="U64" s="135">
        <v>81</v>
      </c>
      <c r="V64" s="136">
        <v>108945</v>
      </c>
    </row>
    <row r="65" spans="1:22">
      <c r="A65" s="126">
        <v>101312</v>
      </c>
      <c r="B65" s="127">
        <v>3022071</v>
      </c>
      <c r="C65" s="126">
        <v>302</v>
      </c>
      <c r="D65" s="128" t="s">
        <v>354</v>
      </c>
      <c r="E65" s="127"/>
      <c r="F65" s="129" t="s">
        <v>346</v>
      </c>
      <c r="G65" s="128" t="s">
        <v>532</v>
      </c>
      <c r="H65" s="129" t="s">
        <v>535</v>
      </c>
      <c r="I65" s="130">
        <v>177</v>
      </c>
      <c r="J65" s="131"/>
      <c r="K65" s="130">
        <v>177</v>
      </c>
      <c r="L65" s="130">
        <v>34</v>
      </c>
      <c r="M65" s="132">
        <v>0.19209039548022599</v>
      </c>
      <c r="N65" s="133">
        <v>45730</v>
      </c>
      <c r="O65" s="134"/>
      <c r="P65" s="130">
        <v>0</v>
      </c>
      <c r="Q65" s="130">
        <v>0</v>
      </c>
      <c r="R65" s="132">
        <v>0</v>
      </c>
      <c r="S65" s="133">
        <v>0</v>
      </c>
      <c r="T65" s="126"/>
      <c r="U65" s="135">
        <v>34</v>
      </c>
      <c r="V65" s="136">
        <v>45730</v>
      </c>
    </row>
    <row r="66" spans="1:22">
      <c r="A66" s="126">
        <v>101313</v>
      </c>
      <c r="B66" s="127">
        <v>3022072</v>
      </c>
      <c r="C66" s="126">
        <v>302</v>
      </c>
      <c r="D66" s="128" t="s">
        <v>354</v>
      </c>
      <c r="E66" s="127"/>
      <c r="F66" s="129" t="s">
        <v>84</v>
      </c>
      <c r="G66" s="128" t="s">
        <v>532</v>
      </c>
      <c r="H66" s="129" t="s">
        <v>535</v>
      </c>
      <c r="I66" s="130">
        <v>325</v>
      </c>
      <c r="J66" s="131"/>
      <c r="K66" s="130">
        <v>325</v>
      </c>
      <c r="L66" s="130">
        <v>113</v>
      </c>
      <c r="M66" s="132">
        <v>0.34769230769230769</v>
      </c>
      <c r="N66" s="133">
        <v>151985</v>
      </c>
      <c r="O66" s="134"/>
      <c r="P66" s="130">
        <v>0</v>
      </c>
      <c r="Q66" s="130">
        <v>0</v>
      </c>
      <c r="R66" s="132">
        <v>0</v>
      </c>
      <c r="S66" s="133">
        <v>0</v>
      </c>
      <c r="T66" s="126"/>
      <c r="U66" s="135">
        <v>113</v>
      </c>
      <c r="V66" s="136">
        <v>151985</v>
      </c>
    </row>
    <row r="67" spans="1:22" s="146" customFormat="1">
      <c r="A67" s="137"/>
      <c r="B67" s="138"/>
      <c r="C67" s="137"/>
      <c r="D67" s="139"/>
      <c r="E67" s="138">
        <v>2072</v>
      </c>
      <c r="F67" s="140" t="s">
        <v>536</v>
      </c>
      <c r="G67" s="139"/>
      <c r="H67" s="140"/>
      <c r="I67" s="141">
        <f>SUM(I65:I66)</f>
        <v>502</v>
      </c>
      <c r="J67" s="142"/>
      <c r="K67" s="141">
        <f>SUM(K65:K66)</f>
        <v>502</v>
      </c>
      <c r="L67" s="141">
        <f t="shared" ref="L67:N67" si="0">SUM(L65:L66)</f>
        <v>147</v>
      </c>
      <c r="M67" s="143">
        <f>M65+M66</f>
        <v>0.53978270317253374</v>
      </c>
      <c r="N67" s="136">
        <f t="shared" si="0"/>
        <v>197715</v>
      </c>
      <c r="O67" s="144"/>
      <c r="P67" s="141">
        <f>P65+P66</f>
        <v>0</v>
      </c>
      <c r="Q67" s="141">
        <f>Q65+Q66</f>
        <v>0</v>
      </c>
      <c r="R67" s="145">
        <f>R65+R66</f>
        <v>0</v>
      </c>
      <c r="S67" s="141">
        <f>S65+S66</f>
        <v>0</v>
      </c>
      <c r="T67" s="137"/>
      <c r="U67" s="141">
        <f>U65+U66</f>
        <v>147</v>
      </c>
      <c r="V67" s="136">
        <f>V65+V66</f>
        <v>197715</v>
      </c>
    </row>
    <row r="68" spans="1:22">
      <c r="A68" s="126">
        <v>101314</v>
      </c>
      <c r="B68" s="127">
        <v>3022073</v>
      </c>
      <c r="C68" s="126">
        <v>302</v>
      </c>
      <c r="D68" s="128" t="s">
        <v>354</v>
      </c>
      <c r="E68" s="127">
        <v>2073</v>
      </c>
      <c r="F68" s="129" t="s">
        <v>261</v>
      </c>
      <c r="G68" s="128" t="s">
        <v>532</v>
      </c>
      <c r="H68" s="129" t="s">
        <v>535</v>
      </c>
      <c r="I68" s="130">
        <v>621.5</v>
      </c>
      <c r="J68" s="131"/>
      <c r="K68" s="130">
        <v>621.5</v>
      </c>
      <c r="L68" s="130">
        <v>173</v>
      </c>
      <c r="M68" s="132">
        <v>0.27835880933226065</v>
      </c>
      <c r="N68" s="133">
        <v>232685</v>
      </c>
      <c r="O68" s="134"/>
      <c r="P68" s="130">
        <v>0</v>
      </c>
      <c r="Q68" s="130">
        <v>0</v>
      </c>
      <c r="R68" s="132">
        <v>0</v>
      </c>
      <c r="S68" s="133">
        <v>0</v>
      </c>
      <c r="T68" s="126"/>
      <c r="U68" s="135">
        <v>173</v>
      </c>
      <c r="V68" s="136">
        <v>232685</v>
      </c>
    </row>
    <row r="69" spans="1:22">
      <c r="A69" s="126">
        <v>131617</v>
      </c>
      <c r="B69" s="127">
        <v>3022076</v>
      </c>
      <c r="C69" s="126">
        <v>302</v>
      </c>
      <c r="D69" s="128" t="s">
        <v>354</v>
      </c>
      <c r="E69" s="127">
        <v>2076</v>
      </c>
      <c r="F69" s="129" t="s">
        <v>285</v>
      </c>
      <c r="G69" s="128" t="s">
        <v>532</v>
      </c>
      <c r="H69" s="129" t="s">
        <v>534</v>
      </c>
      <c r="I69" s="130">
        <v>353</v>
      </c>
      <c r="J69" s="131"/>
      <c r="K69" s="130">
        <v>353</v>
      </c>
      <c r="L69" s="130">
        <v>121</v>
      </c>
      <c r="M69" s="132">
        <v>0.34277620396600567</v>
      </c>
      <c r="N69" s="133">
        <v>162745</v>
      </c>
      <c r="O69" s="134"/>
      <c r="P69" s="130">
        <v>0</v>
      </c>
      <c r="Q69" s="130">
        <v>0</v>
      </c>
      <c r="R69" s="132">
        <v>0</v>
      </c>
      <c r="S69" s="133">
        <v>0</v>
      </c>
      <c r="T69" s="126"/>
      <c r="U69" s="135">
        <v>121</v>
      </c>
      <c r="V69" s="136">
        <v>162745</v>
      </c>
    </row>
    <row r="70" spans="1:22">
      <c r="A70" s="126">
        <v>131970</v>
      </c>
      <c r="B70" s="127">
        <v>3022077</v>
      </c>
      <c r="C70" s="126">
        <v>302</v>
      </c>
      <c r="D70" s="128" t="s">
        <v>354</v>
      </c>
      <c r="E70" s="127">
        <v>2077</v>
      </c>
      <c r="F70" s="129" t="s">
        <v>282</v>
      </c>
      <c r="G70" s="128" t="s">
        <v>532</v>
      </c>
      <c r="H70" s="129" t="s">
        <v>533</v>
      </c>
      <c r="I70" s="130">
        <v>866</v>
      </c>
      <c r="J70" s="131"/>
      <c r="K70" s="130">
        <v>866</v>
      </c>
      <c r="L70" s="130">
        <v>435</v>
      </c>
      <c r="M70" s="132">
        <v>0.50230946882217087</v>
      </c>
      <c r="N70" s="133">
        <v>585075</v>
      </c>
      <c r="O70" s="134"/>
      <c r="P70" s="130">
        <v>0</v>
      </c>
      <c r="Q70" s="130">
        <v>0</v>
      </c>
      <c r="R70" s="132">
        <v>0</v>
      </c>
      <c r="S70" s="133">
        <v>0</v>
      </c>
      <c r="T70" s="126"/>
      <c r="U70" s="135">
        <v>435</v>
      </c>
      <c r="V70" s="136">
        <v>585075</v>
      </c>
    </row>
    <row r="71" spans="1:22">
      <c r="A71" s="126">
        <v>133364</v>
      </c>
      <c r="B71" s="127">
        <v>3022078</v>
      </c>
      <c r="C71" s="126">
        <v>302</v>
      </c>
      <c r="D71" s="128" t="s">
        <v>354</v>
      </c>
      <c r="E71" s="127">
        <v>2078</v>
      </c>
      <c r="F71" s="129" t="s">
        <v>274</v>
      </c>
      <c r="G71" s="128" t="s">
        <v>532</v>
      </c>
      <c r="H71" s="129" t="s">
        <v>534</v>
      </c>
      <c r="I71" s="130">
        <v>348</v>
      </c>
      <c r="J71" s="131"/>
      <c r="K71" s="130">
        <v>348</v>
      </c>
      <c r="L71" s="130">
        <v>25</v>
      </c>
      <c r="M71" s="132">
        <v>7.183908045977011E-2</v>
      </c>
      <c r="N71" s="133">
        <v>33625</v>
      </c>
      <c r="O71" s="134"/>
      <c r="P71" s="130">
        <v>0</v>
      </c>
      <c r="Q71" s="130">
        <v>0</v>
      </c>
      <c r="R71" s="132">
        <v>0</v>
      </c>
      <c r="S71" s="133">
        <v>0</v>
      </c>
      <c r="T71" s="126"/>
      <c r="U71" s="135">
        <v>25</v>
      </c>
      <c r="V71" s="136">
        <v>33625</v>
      </c>
    </row>
    <row r="72" spans="1:22">
      <c r="A72" s="126">
        <v>133365</v>
      </c>
      <c r="B72" s="127">
        <v>3022079</v>
      </c>
      <c r="C72" s="126">
        <v>302</v>
      </c>
      <c r="D72" s="128" t="s">
        <v>354</v>
      </c>
      <c r="E72" s="127">
        <v>2079</v>
      </c>
      <c r="F72" s="129" t="s">
        <v>252</v>
      </c>
      <c r="G72" s="128" t="s">
        <v>532</v>
      </c>
      <c r="H72" s="129" t="s">
        <v>537</v>
      </c>
      <c r="I72" s="130">
        <v>434</v>
      </c>
      <c r="J72" s="131"/>
      <c r="K72" s="130">
        <v>434</v>
      </c>
      <c r="L72" s="130">
        <v>27</v>
      </c>
      <c r="M72" s="132">
        <v>6.2211981566820278E-2</v>
      </c>
      <c r="N72" s="133">
        <v>36315</v>
      </c>
      <c r="O72" s="134"/>
      <c r="P72" s="130">
        <v>0</v>
      </c>
      <c r="Q72" s="130">
        <v>0</v>
      </c>
      <c r="R72" s="132">
        <v>0</v>
      </c>
      <c r="S72" s="133">
        <v>0</v>
      </c>
      <c r="T72" s="126"/>
      <c r="U72" s="135">
        <v>27</v>
      </c>
      <c r="V72" s="136">
        <v>36315</v>
      </c>
    </row>
    <row r="73" spans="1:22">
      <c r="A73" s="126">
        <v>101315</v>
      </c>
      <c r="B73" s="127">
        <v>3023300</v>
      </c>
      <c r="C73" s="126">
        <v>302</v>
      </c>
      <c r="D73" s="128" t="s">
        <v>354</v>
      </c>
      <c r="E73" s="127">
        <v>3300</v>
      </c>
      <c r="F73" s="129" t="s">
        <v>347</v>
      </c>
      <c r="G73" s="128" t="s">
        <v>532</v>
      </c>
      <c r="H73" s="129" t="s">
        <v>534</v>
      </c>
      <c r="I73" s="130">
        <v>171</v>
      </c>
      <c r="J73" s="131"/>
      <c r="K73" s="130">
        <v>171</v>
      </c>
      <c r="L73" s="130">
        <v>85</v>
      </c>
      <c r="M73" s="132">
        <v>0.49707602339181284</v>
      </c>
      <c r="N73" s="133">
        <v>114325</v>
      </c>
      <c r="O73" s="134"/>
      <c r="P73" s="130">
        <v>0</v>
      </c>
      <c r="Q73" s="130">
        <v>0</v>
      </c>
      <c r="R73" s="132">
        <v>0</v>
      </c>
      <c r="S73" s="133">
        <v>0</v>
      </c>
      <c r="T73" s="126"/>
      <c r="U73" s="135">
        <v>85</v>
      </c>
      <c r="V73" s="136">
        <v>114325</v>
      </c>
    </row>
    <row r="74" spans="1:22">
      <c r="A74" s="126">
        <v>101316</v>
      </c>
      <c r="B74" s="127">
        <v>3023302</v>
      </c>
      <c r="C74" s="126">
        <v>302</v>
      </c>
      <c r="D74" s="128" t="s">
        <v>354</v>
      </c>
      <c r="E74" s="127">
        <v>3302</v>
      </c>
      <c r="F74" s="129" t="s">
        <v>257</v>
      </c>
      <c r="G74" s="128" t="s">
        <v>532</v>
      </c>
      <c r="H74" s="129" t="s">
        <v>535</v>
      </c>
      <c r="I74" s="130">
        <v>208.5</v>
      </c>
      <c r="J74" s="131"/>
      <c r="K74" s="130">
        <v>208.5</v>
      </c>
      <c r="L74" s="130">
        <v>21</v>
      </c>
      <c r="M74" s="132">
        <v>0.10071942446043165</v>
      </c>
      <c r="N74" s="133">
        <v>28245</v>
      </c>
      <c r="O74" s="134"/>
      <c r="P74" s="130">
        <v>0</v>
      </c>
      <c r="Q74" s="130">
        <v>0</v>
      </c>
      <c r="R74" s="132">
        <v>0</v>
      </c>
      <c r="S74" s="133">
        <v>0</v>
      </c>
      <c r="T74" s="126"/>
      <c r="U74" s="135">
        <v>21</v>
      </c>
      <c r="V74" s="136">
        <v>28245</v>
      </c>
    </row>
    <row r="75" spans="1:22">
      <c r="A75" s="126">
        <v>101317</v>
      </c>
      <c r="B75" s="127">
        <v>3023304</v>
      </c>
      <c r="C75" s="126">
        <v>302</v>
      </c>
      <c r="D75" s="128" t="s">
        <v>354</v>
      </c>
      <c r="E75" s="127">
        <v>3304</v>
      </c>
      <c r="F75" s="129" t="s">
        <v>266</v>
      </c>
      <c r="G75" s="128" t="s">
        <v>532</v>
      </c>
      <c r="H75" s="129" t="s">
        <v>534</v>
      </c>
      <c r="I75" s="130">
        <v>199</v>
      </c>
      <c r="J75" s="131"/>
      <c r="K75" s="130">
        <v>199</v>
      </c>
      <c r="L75" s="130">
        <v>51</v>
      </c>
      <c r="M75" s="132">
        <v>0.25628140703517588</v>
      </c>
      <c r="N75" s="133">
        <v>68595</v>
      </c>
      <c r="O75" s="134"/>
      <c r="P75" s="130">
        <v>0</v>
      </c>
      <c r="Q75" s="130">
        <v>0</v>
      </c>
      <c r="R75" s="132">
        <v>0</v>
      </c>
      <c r="S75" s="133">
        <v>0</v>
      </c>
      <c r="T75" s="126"/>
      <c r="U75" s="135">
        <v>51</v>
      </c>
      <c r="V75" s="136">
        <v>68595</v>
      </c>
    </row>
    <row r="76" spans="1:22">
      <c r="A76" s="126">
        <v>101318</v>
      </c>
      <c r="B76" s="127">
        <v>3023305</v>
      </c>
      <c r="C76" s="126">
        <v>302</v>
      </c>
      <c r="D76" s="128" t="s">
        <v>354</v>
      </c>
      <c r="E76" s="127">
        <v>3305</v>
      </c>
      <c r="F76" s="129" t="s">
        <v>270</v>
      </c>
      <c r="G76" s="128" t="s">
        <v>532</v>
      </c>
      <c r="H76" s="129" t="s">
        <v>535</v>
      </c>
      <c r="I76" s="130">
        <v>150</v>
      </c>
      <c r="J76" s="131"/>
      <c r="K76" s="130">
        <v>150</v>
      </c>
      <c r="L76" s="130">
        <v>14</v>
      </c>
      <c r="M76" s="132">
        <v>9.3333333333333338E-2</v>
      </c>
      <c r="N76" s="133">
        <v>18830</v>
      </c>
      <c r="O76" s="134"/>
      <c r="P76" s="130">
        <v>0</v>
      </c>
      <c r="Q76" s="130">
        <v>0</v>
      </c>
      <c r="R76" s="132">
        <v>0</v>
      </c>
      <c r="S76" s="133">
        <v>0</v>
      </c>
      <c r="T76" s="126"/>
      <c r="U76" s="135">
        <v>14</v>
      </c>
      <c r="V76" s="136">
        <v>18830</v>
      </c>
    </row>
    <row r="77" spans="1:22">
      <c r="A77" s="126">
        <v>101319</v>
      </c>
      <c r="B77" s="127">
        <v>3023307</v>
      </c>
      <c r="C77" s="126">
        <v>302</v>
      </c>
      <c r="D77" s="128" t="s">
        <v>354</v>
      </c>
      <c r="E77" s="127">
        <v>3307</v>
      </c>
      <c r="F77" s="129" t="s">
        <v>348</v>
      </c>
      <c r="G77" s="128" t="s">
        <v>532</v>
      </c>
      <c r="H77" s="129" t="s">
        <v>535</v>
      </c>
      <c r="I77" s="130">
        <v>209</v>
      </c>
      <c r="J77" s="131"/>
      <c r="K77" s="130">
        <v>209</v>
      </c>
      <c r="L77" s="130">
        <v>19</v>
      </c>
      <c r="M77" s="132">
        <v>9.0909090909090912E-2</v>
      </c>
      <c r="N77" s="133">
        <v>25555</v>
      </c>
      <c r="O77" s="134"/>
      <c r="P77" s="130">
        <v>0</v>
      </c>
      <c r="Q77" s="130">
        <v>0</v>
      </c>
      <c r="R77" s="132">
        <v>0</v>
      </c>
      <c r="S77" s="133">
        <v>0</v>
      </c>
      <c r="T77" s="126"/>
      <c r="U77" s="135">
        <v>19</v>
      </c>
      <c r="V77" s="136">
        <v>25555</v>
      </c>
    </row>
    <row r="78" spans="1:22">
      <c r="A78" s="126">
        <v>101321</v>
      </c>
      <c r="B78" s="127">
        <v>3023309</v>
      </c>
      <c r="C78" s="126">
        <v>302</v>
      </c>
      <c r="D78" s="128" t="s">
        <v>354</v>
      </c>
      <c r="E78" s="127">
        <v>3309</v>
      </c>
      <c r="F78" s="129" t="s">
        <v>349</v>
      </c>
      <c r="G78" s="128" t="s">
        <v>532</v>
      </c>
      <c r="H78" s="129" t="s">
        <v>535</v>
      </c>
      <c r="I78" s="130">
        <v>211</v>
      </c>
      <c r="J78" s="131"/>
      <c r="K78" s="130">
        <v>211</v>
      </c>
      <c r="L78" s="130">
        <v>19</v>
      </c>
      <c r="M78" s="132">
        <v>9.004739336492891E-2</v>
      </c>
      <c r="N78" s="133">
        <v>25555</v>
      </c>
      <c r="O78" s="134"/>
      <c r="P78" s="130">
        <v>0</v>
      </c>
      <c r="Q78" s="130">
        <v>0</v>
      </c>
      <c r="R78" s="132">
        <v>0</v>
      </c>
      <c r="S78" s="133">
        <v>0</v>
      </c>
      <c r="T78" s="126"/>
      <c r="U78" s="135">
        <v>19</v>
      </c>
      <c r="V78" s="136">
        <v>25555</v>
      </c>
    </row>
    <row r="79" spans="1:22">
      <c r="A79" s="126">
        <v>101323</v>
      </c>
      <c r="B79" s="127">
        <v>3023311</v>
      </c>
      <c r="C79" s="126">
        <v>302</v>
      </c>
      <c r="D79" s="128" t="s">
        <v>354</v>
      </c>
      <c r="E79" s="127">
        <v>3311</v>
      </c>
      <c r="F79" s="129" t="s">
        <v>350</v>
      </c>
      <c r="G79" s="128" t="s">
        <v>532</v>
      </c>
      <c r="H79" s="129" t="s">
        <v>534</v>
      </c>
      <c r="I79" s="130">
        <v>411</v>
      </c>
      <c r="J79" s="131"/>
      <c r="K79" s="130">
        <v>411</v>
      </c>
      <c r="L79" s="130">
        <v>59</v>
      </c>
      <c r="M79" s="132">
        <v>0.14355231143552311</v>
      </c>
      <c r="N79" s="133">
        <v>79355</v>
      </c>
      <c r="O79" s="134"/>
      <c r="P79" s="130">
        <v>0</v>
      </c>
      <c r="Q79" s="130">
        <v>0</v>
      </c>
      <c r="R79" s="132">
        <v>0</v>
      </c>
      <c r="S79" s="133">
        <v>0</v>
      </c>
      <c r="T79" s="126"/>
      <c r="U79" s="135">
        <v>59</v>
      </c>
      <c r="V79" s="136">
        <v>79355</v>
      </c>
    </row>
    <row r="80" spans="1:22">
      <c r="A80" s="126">
        <v>101324</v>
      </c>
      <c r="B80" s="127">
        <v>3023312</v>
      </c>
      <c r="C80" s="126">
        <v>302</v>
      </c>
      <c r="D80" s="128" t="s">
        <v>354</v>
      </c>
      <c r="E80" s="127">
        <v>3312</v>
      </c>
      <c r="F80" s="129" t="s">
        <v>278</v>
      </c>
      <c r="G80" s="128" t="s">
        <v>532</v>
      </c>
      <c r="H80" s="129" t="s">
        <v>535</v>
      </c>
      <c r="I80" s="130">
        <v>212</v>
      </c>
      <c r="J80" s="131"/>
      <c r="K80" s="130">
        <v>212</v>
      </c>
      <c r="L80" s="130">
        <v>21</v>
      </c>
      <c r="M80" s="132">
        <v>9.9056603773584911E-2</v>
      </c>
      <c r="N80" s="133">
        <v>28245</v>
      </c>
      <c r="O80" s="134"/>
      <c r="P80" s="130">
        <v>0</v>
      </c>
      <c r="Q80" s="130">
        <v>0</v>
      </c>
      <c r="R80" s="132">
        <v>0</v>
      </c>
      <c r="S80" s="133">
        <v>0</v>
      </c>
      <c r="T80" s="126"/>
      <c r="U80" s="135">
        <v>21</v>
      </c>
      <c r="V80" s="136">
        <v>28245</v>
      </c>
    </row>
    <row r="81" spans="1:22">
      <c r="A81" s="126">
        <v>101325</v>
      </c>
      <c r="B81" s="127">
        <v>3023313</v>
      </c>
      <c r="C81" s="126">
        <v>302</v>
      </c>
      <c r="D81" s="128" t="s">
        <v>354</v>
      </c>
      <c r="E81" s="127">
        <v>3313</v>
      </c>
      <c r="F81" s="129" t="s">
        <v>279</v>
      </c>
      <c r="G81" s="128" t="s">
        <v>532</v>
      </c>
      <c r="H81" s="129" t="s">
        <v>535</v>
      </c>
      <c r="I81" s="130">
        <v>186</v>
      </c>
      <c r="J81" s="131"/>
      <c r="K81" s="130">
        <v>186</v>
      </c>
      <c r="L81" s="130">
        <v>50</v>
      </c>
      <c r="M81" s="132">
        <v>0.26881720430107525</v>
      </c>
      <c r="N81" s="133">
        <v>67250</v>
      </c>
      <c r="O81" s="134"/>
      <c r="P81" s="130">
        <v>0</v>
      </c>
      <c r="Q81" s="130">
        <v>0</v>
      </c>
      <c r="R81" s="132">
        <v>0</v>
      </c>
      <c r="S81" s="133">
        <v>0</v>
      </c>
      <c r="T81" s="126"/>
      <c r="U81" s="135">
        <v>50</v>
      </c>
      <c r="V81" s="136">
        <v>67250</v>
      </c>
    </row>
    <row r="82" spans="1:22">
      <c r="A82" s="126">
        <v>101326</v>
      </c>
      <c r="B82" s="127">
        <v>3023314</v>
      </c>
      <c r="C82" s="126">
        <v>302</v>
      </c>
      <c r="D82" s="128" t="s">
        <v>354</v>
      </c>
      <c r="E82" s="127">
        <v>3314</v>
      </c>
      <c r="F82" s="129" t="s">
        <v>319</v>
      </c>
      <c r="G82" s="128" t="s">
        <v>532</v>
      </c>
      <c r="H82" s="129" t="s">
        <v>533</v>
      </c>
      <c r="I82" s="130">
        <v>206</v>
      </c>
      <c r="J82" s="131"/>
      <c r="K82" s="130">
        <v>206</v>
      </c>
      <c r="L82" s="130">
        <v>36</v>
      </c>
      <c r="M82" s="132">
        <v>0.17475728155339806</v>
      </c>
      <c r="N82" s="133">
        <v>48420</v>
      </c>
      <c r="O82" s="134"/>
      <c r="P82" s="130">
        <v>0</v>
      </c>
      <c r="Q82" s="130">
        <v>0</v>
      </c>
      <c r="R82" s="132">
        <v>0</v>
      </c>
      <c r="S82" s="133">
        <v>0</v>
      </c>
      <c r="T82" s="126"/>
      <c r="U82" s="135">
        <v>36</v>
      </c>
      <c r="V82" s="136">
        <v>48420</v>
      </c>
    </row>
    <row r="83" spans="1:22">
      <c r="A83" s="126">
        <v>101327</v>
      </c>
      <c r="B83" s="127">
        <v>3023315</v>
      </c>
      <c r="C83" s="126">
        <v>302</v>
      </c>
      <c r="D83" s="128" t="s">
        <v>354</v>
      </c>
      <c r="E83" s="127">
        <v>3315</v>
      </c>
      <c r="F83" s="129" t="s">
        <v>351</v>
      </c>
      <c r="G83" s="128" t="s">
        <v>532</v>
      </c>
      <c r="H83" s="129" t="s">
        <v>535</v>
      </c>
      <c r="I83" s="130">
        <v>208</v>
      </c>
      <c r="J83" s="131"/>
      <c r="K83" s="130">
        <v>208</v>
      </c>
      <c r="L83" s="130">
        <v>15</v>
      </c>
      <c r="M83" s="132">
        <v>7.2115384615384609E-2</v>
      </c>
      <c r="N83" s="133">
        <v>20175</v>
      </c>
      <c r="O83" s="134"/>
      <c r="P83" s="130">
        <v>0</v>
      </c>
      <c r="Q83" s="130">
        <v>0</v>
      </c>
      <c r="R83" s="132">
        <v>0</v>
      </c>
      <c r="S83" s="133">
        <v>0</v>
      </c>
      <c r="T83" s="126"/>
      <c r="U83" s="135">
        <v>15</v>
      </c>
      <c r="V83" s="136">
        <v>20175</v>
      </c>
    </row>
    <row r="84" spans="1:22">
      <c r="A84" s="126">
        <v>101328</v>
      </c>
      <c r="B84" s="127">
        <v>3023316</v>
      </c>
      <c r="C84" s="126">
        <v>302</v>
      </c>
      <c r="D84" s="128" t="s">
        <v>354</v>
      </c>
      <c r="E84" s="127">
        <v>3316</v>
      </c>
      <c r="F84" s="129" t="s">
        <v>283</v>
      </c>
      <c r="G84" s="128" t="s">
        <v>532</v>
      </c>
      <c r="H84" s="129" t="s">
        <v>535</v>
      </c>
      <c r="I84" s="130">
        <v>212</v>
      </c>
      <c r="J84" s="131"/>
      <c r="K84" s="130">
        <v>212</v>
      </c>
      <c r="L84" s="130">
        <v>21</v>
      </c>
      <c r="M84" s="132">
        <v>9.9056603773584911E-2</v>
      </c>
      <c r="N84" s="133">
        <v>28245</v>
      </c>
      <c r="O84" s="134"/>
      <c r="P84" s="130">
        <v>0</v>
      </c>
      <c r="Q84" s="130">
        <v>0</v>
      </c>
      <c r="R84" s="132">
        <v>0</v>
      </c>
      <c r="S84" s="133">
        <v>0</v>
      </c>
      <c r="T84" s="126"/>
      <c r="U84" s="135">
        <v>21</v>
      </c>
      <c r="V84" s="136">
        <v>28245</v>
      </c>
    </row>
    <row r="85" spans="1:22">
      <c r="A85" s="126">
        <v>101329</v>
      </c>
      <c r="B85" s="127">
        <v>3023317</v>
      </c>
      <c r="C85" s="126">
        <v>302</v>
      </c>
      <c r="D85" s="128" t="s">
        <v>354</v>
      </c>
      <c r="E85" s="127">
        <v>3317</v>
      </c>
      <c r="F85" s="129" t="s">
        <v>250</v>
      </c>
      <c r="G85" s="128" t="s">
        <v>532</v>
      </c>
      <c r="H85" s="129" t="s">
        <v>535</v>
      </c>
      <c r="I85" s="130">
        <v>212</v>
      </c>
      <c r="J85" s="131"/>
      <c r="K85" s="130">
        <v>212</v>
      </c>
      <c r="L85" s="130">
        <v>47</v>
      </c>
      <c r="M85" s="132">
        <v>0.22169811320754718</v>
      </c>
      <c r="N85" s="133">
        <v>63215</v>
      </c>
      <c r="O85" s="134"/>
      <c r="P85" s="130">
        <v>0</v>
      </c>
      <c r="Q85" s="130">
        <v>0</v>
      </c>
      <c r="R85" s="132">
        <v>0</v>
      </c>
      <c r="S85" s="133">
        <v>0</v>
      </c>
      <c r="T85" s="126"/>
      <c r="U85" s="135">
        <v>47</v>
      </c>
      <c r="V85" s="136">
        <v>63215</v>
      </c>
    </row>
    <row r="86" spans="1:22">
      <c r="A86" s="126">
        <v>101330</v>
      </c>
      <c r="B86" s="127">
        <v>3023500</v>
      </c>
      <c r="C86" s="126">
        <v>302</v>
      </c>
      <c r="D86" s="128" t="s">
        <v>354</v>
      </c>
      <c r="E86" s="127">
        <v>3500</v>
      </c>
      <c r="F86" s="129" t="s">
        <v>329</v>
      </c>
      <c r="G86" s="128" t="s">
        <v>532</v>
      </c>
      <c r="H86" s="129" t="s">
        <v>533</v>
      </c>
      <c r="I86" s="130">
        <v>129</v>
      </c>
      <c r="J86" s="131"/>
      <c r="K86" s="130">
        <v>129</v>
      </c>
      <c r="L86" s="130">
        <v>14</v>
      </c>
      <c r="M86" s="132">
        <v>0.10852713178294573</v>
      </c>
      <c r="N86" s="133">
        <v>18830</v>
      </c>
      <c r="O86" s="134"/>
      <c r="P86" s="130">
        <v>0</v>
      </c>
      <c r="Q86" s="130">
        <v>0</v>
      </c>
      <c r="R86" s="132">
        <v>0</v>
      </c>
      <c r="S86" s="133">
        <v>0</v>
      </c>
      <c r="T86" s="126"/>
      <c r="U86" s="135">
        <v>14</v>
      </c>
      <c r="V86" s="136">
        <v>18830</v>
      </c>
    </row>
    <row r="87" spans="1:22">
      <c r="A87" s="126">
        <v>101331</v>
      </c>
      <c r="B87" s="127">
        <v>3023501</v>
      </c>
      <c r="C87" s="126">
        <v>302</v>
      </c>
      <c r="D87" s="128" t="s">
        <v>354</v>
      </c>
      <c r="E87" s="127">
        <v>3501</v>
      </c>
      <c r="F87" s="129" t="s">
        <v>81</v>
      </c>
      <c r="G87" s="128" t="s">
        <v>532</v>
      </c>
      <c r="H87" s="129" t="s">
        <v>534</v>
      </c>
      <c r="I87" s="130">
        <v>199</v>
      </c>
      <c r="J87" s="131"/>
      <c r="K87" s="130">
        <v>199</v>
      </c>
      <c r="L87" s="130">
        <v>31</v>
      </c>
      <c r="M87" s="132">
        <v>0.15577889447236182</v>
      </c>
      <c r="N87" s="133">
        <v>41695</v>
      </c>
      <c r="O87" s="134"/>
      <c r="P87" s="130">
        <v>0</v>
      </c>
      <c r="Q87" s="130">
        <v>0</v>
      </c>
      <c r="R87" s="132">
        <v>0</v>
      </c>
      <c r="S87" s="133">
        <v>0</v>
      </c>
      <c r="T87" s="126"/>
      <c r="U87" s="135">
        <v>31</v>
      </c>
      <c r="V87" s="136">
        <v>41695</v>
      </c>
    </row>
    <row r="88" spans="1:22">
      <c r="A88" s="126">
        <v>101332</v>
      </c>
      <c r="B88" s="127">
        <v>3023502</v>
      </c>
      <c r="C88" s="126">
        <v>302</v>
      </c>
      <c r="D88" s="128" t="s">
        <v>354</v>
      </c>
      <c r="E88" s="127">
        <v>3502</v>
      </c>
      <c r="F88" s="129" t="s">
        <v>483</v>
      </c>
      <c r="G88" s="128" t="s">
        <v>532</v>
      </c>
      <c r="H88" s="129" t="s">
        <v>534</v>
      </c>
      <c r="I88" s="130">
        <v>367</v>
      </c>
      <c r="J88" s="131"/>
      <c r="K88" s="130">
        <v>367</v>
      </c>
      <c r="L88" s="130">
        <v>90</v>
      </c>
      <c r="M88" s="132">
        <v>0.24523160762942781</v>
      </c>
      <c r="N88" s="133">
        <v>121050</v>
      </c>
      <c r="O88" s="134"/>
      <c r="P88" s="130">
        <v>0</v>
      </c>
      <c r="Q88" s="130">
        <v>0</v>
      </c>
      <c r="R88" s="132">
        <v>0</v>
      </c>
      <c r="S88" s="133">
        <v>0</v>
      </c>
      <c r="T88" s="126"/>
      <c r="U88" s="135">
        <v>90</v>
      </c>
      <c r="V88" s="136">
        <v>121050</v>
      </c>
    </row>
    <row r="89" spans="1:22">
      <c r="A89" s="126">
        <v>101333</v>
      </c>
      <c r="B89" s="127">
        <v>3023504</v>
      </c>
      <c r="C89" s="126">
        <v>302</v>
      </c>
      <c r="D89" s="128" t="s">
        <v>354</v>
      </c>
      <c r="E89" s="127">
        <v>3504</v>
      </c>
      <c r="F89" s="129" t="s">
        <v>277</v>
      </c>
      <c r="G89" s="128" t="s">
        <v>532</v>
      </c>
      <c r="H89" s="129" t="s">
        <v>535</v>
      </c>
      <c r="I89" s="130">
        <v>417</v>
      </c>
      <c r="J89" s="131"/>
      <c r="K89" s="130">
        <v>417</v>
      </c>
      <c r="L89" s="130">
        <v>39</v>
      </c>
      <c r="M89" s="132">
        <v>9.3525179856115109E-2</v>
      </c>
      <c r="N89" s="133">
        <v>52455</v>
      </c>
      <c r="O89" s="134"/>
      <c r="P89" s="130">
        <v>0</v>
      </c>
      <c r="Q89" s="130">
        <v>0</v>
      </c>
      <c r="R89" s="132">
        <v>0</v>
      </c>
      <c r="S89" s="133">
        <v>0</v>
      </c>
      <c r="T89" s="126"/>
      <c r="U89" s="135">
        <v>39</v>
      </c>
      <c r="V89" s="136">
        <v>52455</v>
      </c>
    </row>
    <row r="90" spans="1:22">
      <c r="A90" s="126">
        <v>101334</v>
      </c>
      <c r="B90" s="127">
        <v>3023506</v>
      </c>
      <c r="C90" s="126">
        <v>302</v>
      </c>
      <c r="D90" s="128" t="s">
        <v>354</v>
      </c>
      <c r="E90" s="127">
        <v>3506</v>
      </c>
      <c r="F90" s="129" t="s">
        <v>330</v>
      </c>
      <c r="G90" s="128" t="s">
        <v>532</v>
      </c>
      <c r="H90" s="129" t="s">
        <v>533</v>
      </c>
      <c r="I90" s="130">
        <v>284</v>
      </c>
      <c r="J90" s="131"/>
      <c r="K90" s="130">
        <v>284</v>
      </c>
      <c r="L90" s="130">
        <v>14</v>
      </c>
      <c r="M90" s="132">
        <v>4.9295774647887321E-2</v>
      </c>
      <c r="N90" s="133">
        <v>18830</v>
      </c>
      <c r="O90" s="134"/>
      <c r="P90" s="130">
        <v>0</v>
      </c>
      <c r="Q90" s="130">
        <v>0</v>
      </c>
      <c r="R90" s="132">
        <v>0</v>
      </c>
      <c r="S90" s="133">
        <v>0</v>
      </c>
      <c r="T90" s="126"/>
      <c r="U90" s="135">
        <v>14</v>
      </c>
      <c r="V90" s="136">
        <v>18830</v>
      </c>
    </row>
    <row r="91" spans="1:22">
      <c r="A91" s="126">
        <v>101335</v>
      </c>
      <c r="B91" s="127">
        <v>3023507</v>
      </c>
      <c r="C91" s="126">
        <v>302</v>
      </c>
      <c r="D91" s="128" t="s">
        <v>354</v>
      </c>
      <c r="E91" s="127">
        <v>3507</v>
      </c>
      <c r="F91" s="129" t="s">
        <v>352</v>
      </c>
      <c r="G91" s="128" t="s">
        <v>532</v>
      </c>
      <c r="H91" s="129" t="s">
        <v>534</v>
      </c>
      <c r="I91" s="130">
        <v>176</v>
      </c>
      <c r="J91" s="131"/>
      <c r="K91" s="130">
        <v>176</v>
      </c>
      <c r="L91" s="130">
        <v>22</v>
      </c>
      <c r="M91" s="132">
        <v>0.125</v>
      </c>
      <c r="N91" s="133">
        <v>29590</v>
      </c>
      <c r="O91" s="134"/>
      <c r="P91" s="130">
        <v>0</v>
      </c>
      <c r="Q91" s="130">
        <v>0</v>
      </c>
      <c r="R91" s="132">
        <v>0</v>
      </c>
      <c r="S91" s="133">
        <v>0</v>
      </c>
      <c r="T91" s="126"/>
      <c r="U91" s="135">
        <v>22</v>
      </c>
      <c r="V91" s="136">
        <v>29590</v>
      </c>
    </row>
    <row r="92" spans="1:22">
      <c r="A92" s="126">
        <v>101337</v>
      </c>
      <c r="B92" s="127">
        <v>3023509</v>
      </c>
      <c r="C92" s="126">
        <v>302</v>
      </c>
      <c r="D92" s="128" t="s">
        <v>354</v>
      </c>
      <c r="E92" s="127">
        <v>3509</v>
      </c>
      <c r="F92" s="129" t="s">
        <v>339</v>
      </c>
      <c r="G92" s="128" t="s">
        <v>532</v>
      </c>
      <c r="H92" s="129" t="s">
        <v>533</v>
      </c>
      <c r="I92" s="130">
        <v>486</v>
      </c>
      <c r="J92" s="131"/>
      <c r="K92" s="130">
        <v>486</v>
      </c>
      <c r="L92" s="130">
        <v>92</v>
      </c>
      <c r="M92" s="132">
        <v>0.18930041152263374</v>
      </c>
      <c r="N92" s="133">
        <v>123740</v>
      </c>
      <c r="O92" s="134"/>
      <c r="P92" s="130">
        <v>0</v>
      </c>
      <c r="Q92" s="130">
        <v>0</v>
      </c>
      <c r="R92" s="132">
        <v>0</v>
      </c>
      <c r="S92" s="133">
        <v>0</v>
      </c>
      <c r="T92" s="126"/>
      <c r="U92" s="135">
        <v>92</v>
      </c>
      <c r="V92" s="136">
        <v>123740</v>
      </c>
    </row>
    <row r="93" spans="1:22">
      <c r="A93" s="126">
        <v>101338</v>
      </c>
      <c r="B93" s="127">
        <v>3023510</v>
      </c>
      <c r="C93" s="126">
        <v>302</v>
      </c>
      <c r="D93" s="128" t="s">
        <v>354</v>
      </c>
      <c r="E93" s="127">
        <v>3510</v>
      </c>
      <c r="F93" s="129" t="s">
        <v>276</v>
      </c>
      <c r="G93" s="128" t="s">
        <v>532</v>
      </c>
      <c r="H93" s="129" t="s">
        <v>535</v>
      </c>
      <c r="I93" s="130">
        <v>396</v>
      </c>
      <c r="J93" s="131"/>
      <c r="K93" s="130">
        <v>396</v>
      </c>
      <c r="L93" s="130">
        <v>42</v>
      </c>
      <c r="M93" s="132">
        <v>0.10606060606060606</v>
      </c>
      <c r="N93" s="133">
        <v>56490</v>
      </c>
      <c r="O93" s="134"/>
      <c r="P93" s="130">
        <v>0</v>
      </c>
      <c r="Q93" s="130">
        <v>0</v>
      </c>
      <c r="R93" s="132">
        <v>0</v>
      </c>
      <c r="S93" s="133">
        <v>0</v>
      </c>
      <c r="T93" s="126"/>
      <c r="U93" s="135">
        <v>42</v>
      </c>
      <c r="V93" s="136">
        <v>56490</v>
      </c>
    </row>
    <row r="94" spans="1:22">
      <c r="A94" s="126">
        <v>101339</v>
      </c>
      <c r="B94" s="127">
        <v>3023511</v>
      </c>
      <c r="C94" s="126">
        <v>302</v>
      </c>
      <c r="D94" s="128" t="s">
        <v>354</v>
      </c>
      <c r="E94" s="127">
        <v>3511</v>
      </c>
      <c r="F94" s="129" t="s">
        <v>359</v>
      </c>
      <c r="G94" s="128" t="s">
        <v>532</v>
      </c>
      <c r="H94" s="129" t="s">
        <v>533</v>
      </c>
      <c r="I94" s="130">
        <v>405</v>
      </c>
      <c r="J94" s="131"/>
      <c r="K94" s="130">
        <v>405</v>
      </c>
      <c r="L94" s="130">
        <v>102</v>
      </c>
      <c r="M94" s="132">
        <v>0.25185185185185183</v>
      </c>
      <c r="N94" s="133">
        <v>137190</v>
      </c>
      <c r="O94" s="134"/>
      <c r="P94" s="130">
        <v>0</v>
      </c>
      <c r="Q94" s="130">
        <v>0</v>
      </c>
      <c r="R94" s="132">
        <v>0</v>
      </c>
      <c r="S94" s="133">
        <v>0</v>
      </c>
      <c r="T94" s="126"/>
      <c r="U94" s="135">
        <v>102</v>
      </c>
      <c r="V94" s="136">
        <v>137190</v>
      </c>
    </row>
    <row r="95" spans="1:22">
      <c r="A95" s="126">
        <v>101340</v>
      </c>
      <c r="B95" s="127">
        <v>3023512</v>
      </c>
      <c r="C95" s="126">
        <v>302</v>
      </c>
      <c r="D95" s="128" t="s">
        <v>354</v>
      </c>
      <c r="E95" s="127">
        <v>3512</v>
      </c>
      <c r="F95" s="129" t="s">
        <v>275</v>
      </c>
      <c r="G95" s="128" t="s">
        <v>532</v>
      </c>
      <c r="H95" s="129" t="s">
        <v>533</v>
      </c>
      <c r="I95" s="130">
        <v>374</v>
      </c>
      <c r="J95" s="131"/>
      <c r="K95" s="130">
        <v>374</v>
      </c>
      <c r="L95" s="130">
        <v>10</v>
      </c>
      <c r="M95" s="132">
        <v>2.6737967914438502E-2</v>
      </c>
      <c r="N95" s="133">
        <v>13450</v>
      </c>
      <c r="O95" s="134"/>
      <c r="P95" s="130">
        <v>0</v>
      </c>
      <c r="Q95" s="130">
        <v>0</v>
      </c>
      <c r="R95" s="132">
        <v>0</v>
      </c>
      <c r="S95" s="133">
        <v>0</v>
      </c>
      <c r="T95" s="126"/>
      <c r="U95" s="135">
        <v>10</v>
      </c>
      <c r="V95" s="136">
        <v>13450</v>
      </c>
    </row>
    <row r="96" spans="1:22">
      <c r="A96" s="126">
        <v>101341</v>
      </c>
      <c r="B96" s="127">
        <v>3023513</v>
      </c>
      <c r="C96" s="126">
        <v>302</v>
      </c>
      <c r="D96" s="128" t="s">
        <v>354</v>
      </c>
      <c r="E96" s="127">
        <v>3513</v>
      </c>
      <c r="F96" s="129" t="s">
        <v>73</v>
      </c>
      <c r="G96" s="128" t="s">
        <v>532</v>
      </c>
      <c r="H96" s="129" t="s">
        <v>534</v>
      </c>
      <c r="I96" s="130">
        <v>380</v>
      </c>
      <c r="J96" s="131"/>
      <c r="K96" s="130">
        <v>380</v>
      </c>
      <c r="L96" s="130">
        <v>15</v>
      </c>
      <c r="M96" s="132">
        <v>3.9473684210526314E-2</v>
      </c>
      <c r="N96" s="133">
        <v>20175</v>
      </c>
      <c r="O96" s="134"/>
      <c r="P96" s="130">
        <v>0</v>
      </c>
      <c r="Q96" s="130">
        <v>0</v>
      </c>
      <c r="R96" s="132">
        <v>0</v>
      </c>
      <c r="S96" s="133">
        <v>0</v>
      </c>
      <c r="T96" s="126"/>
      <c r="U96" s="135">
        <v>15</v>
      </c>
      <c r="V96" s="136">
        <v>20175</v>
      </c>
    </row>
    <row r="97" spans="1:22">
      <c r="A97" s="126">
        <v>101342</v>
      </c>
      <c r="B97" s="127">
        <v>3023514</v>
      </c>
      <c r="C97" s="126">
        <v>302</v>
      </c>
      <c r="D97" s="128" t="s">
        <v>354</v>
      </c>
      <c r="E97" s="127">
        <v>3514</v>
      </c>
      <c r="F97" s="129" t="s">
        <v>281</v>
      </c>
      <c r="G97" s="128" t="s">
        <v>532</v>
      </c>
      <c r="H97" s="129" t="s">
        <v>533</v>
      </c>
      <c r="I97" s="130">
        <v>207</v>
      </c>
      <c r="J97" s="131"/>
      <c r="K97" s="130">
        <v>207</v>
      </c>
      <c r="L97" s="130">
        <v>52</v>
      </c>
      <c r="M97" s="132">
        <v>0.25120772946859904</v>
      </c>
      <c r="N97" s="133">
        <v>69940</v>
      </c>
      <c r="O97" s="134"/>
      <c r="P97" s="130">
        <v>0</v>
      </c>
      <c r="Q97" s="130">
        <v>0</v>
      </c>
      <c r="R97" s="132">
        <v>0</v>
      </c>
      <c r="S97" s="133">
        <v>0</v>
      </c>
      <c r="T97" s="126"/>
      <c r="U97" s="135">
        <v>52</v>
      </c>
      <c r="V97" s="136">
        <v>69940</v>
      </c>
    </row>
    <row r="98" spans="1:22">
      <c r="A98" s="126">
        <v>130998</v>
      </c>
      <c r="B98" s="127">
        <v>3023516</v>
      </c>
      <c r="C98" s="126">
        <v>302</v>
      </c>
      <c r="D98" s="128" t="s">
        <v>354</v>
      </c>
      <c r="E98" s="127">
        <v>3516</v>
      </c>
      <c r="F98" s="129" t="s">
        <v>64</v>
      </c>
      <c r="G98" s="128" t="s">
        <v>532</v>
      </c>
      <c r="H98" s="129" t="s">
        <v>533</v>
      </c>
      <c r="I98" s="130">
        <v>203.5</v>
      </c>
      <c r="J98" s="131"/>
      <c r="K98" s="130">
        <v>203.5</v>
      </c>
      <c r="L98" s="130">
        <v>24</v>
      </c>
      <c r="M98" s="132">
        <v>0.11793611793611794</v>
      </c>
      <c r="N98" s="133">
        <v>32280</v>
      </c>
      <c r="O98" s="134"/>
      <c r="P98" s="130">
        <v>0</v>
      </c>
      <c r="Q98" s="130">
        <v>0</v>
      </c>
      <c r="R98" s="132">
        <v>0</v>
      </c>
      <c r="S98" s="133">
        <v>0</v>
      </c>
      <c r="T98" s="126"/>
      <c r="U98" s="135">
        <v>24</v>
      </c>
      <c r="V98" s="136">
        <v>32280</v>
      </c>
    </row>
    <row r="99" spans="1:22">
      <c r="A99" s="126">
        <v>134677</v>
      </c>
      <c r="B99" s="127">
        <v>3023518</v>
      </c>
      <c r="C99" s="126">
        <v>302</v>
      </c>
      <c r="D99" s="128" t="s">
        <v>354</v>
      </c>
      <c r="E99" s="127">
        <v>3518</v>
      </c>
      <c r="F99" s="129" t="s">
        <v>109</v>
      </c>
      <c r="G99" s="128" t="s">
        <v>532</v>
      </c>
      <c r="H99" s="129" t="s">
        <v>533</v>
      </c>
      <c r="I99" s="130">
        <v>390</v>
      </c>
      <c r="J99" s="131"/>
      <c r="K99" s="130">
        <v>390</v>
      </c>
      <c r="L99" s="130">
        <v>146</v>
      </c>
      <c r="M99" s="132">
        <v>0.37435897435897436</v>
      </c>
      <c r="N99" s="133">
        <v>196370</v>
      </c>
      <c r="O99" s="134"/>
      <c r="P99" s="130">
        <v>0</v>
      </c>
      <c r="Q99" s="130">
        <v>0</v>
      </c>
      <c r="R99" s="132">
        <v>0</v>
      </c>
      <c r="S99" s="133">
        <v>0</v>
      </c>
      <c r="T99" s="126"/>
      <c r="U99" s="135">
        <v>146</v>
      </c>
      <c r="V99" s="136">
        <v>196370</v>
      </c>
    </row>
    <row r="100" spans="1:22">
      <c r="A100" s="126">
        <v>135086</v>
      </c>
      <c r="B100" s="127">
        <v>3023520</v>
      </c>
      <c r="C100" s="126">
        <v>302</v>
      </c>
      <c r="D100" s="128" t="s">
        <v>354</v>
      </c>
      <c r="E100" s="127">
        <v>3520</v>
      </c>
      <c r="F100" s="129" t="s">
        <v>249</v>
      </c>
      <c r="G100" s="128" t="s">
        <v>532</v>
      </c>
      <c r="H100" s="129" t="s">
        <v>534</v>
      </c>
      <c r="I100" s="130">
        <v>420</v>
      </c>
      <c r="J100" s="131"/>
      <c r="K100" s="130">
        <v>420</v>
      </c>
      <c r="L100" s="130">
        <v>1</v>
      </c>
      <c r="M100" s="132">
        <v>2.3809523809523812E-3</v>
      </c>
      <c r="N100" s="133">
        <v>1345</v>
      </c>
      <c r="O100" s="134"/>
      <c r="P100" s="130">
        <v>0</v>
      </c>
      <c r="Q100" s="130">
        <v>0</v>
      </c>
      <c r="R100" s="132">
        <v>0</v>
      </c>
      <c r="S100" s="133">
        <v>0</v>
      </c>
      <c r="T100" s="126"/>
      <c r="U100" s="135">
        <v>1</v>
      </c>
      <c r="V100" s="136">
        <v>1345</v>
      </c>
    </row>
    <row r="101" spans="1:22">
      <c r="A101" s="126">
        <v>103119</v>
      </c>
      <c r="B101" s="127">
        <v>3023521</v>
      </c>
      <c r="C101" s="126">
        <v>302</v>
      </c>
      <c r="D101" s="128" t="s">
        <v>354</v>
      </c>
      <c r="E101" s="127">
        <v>3521</v>
      </c>
      <c r="F101" s="129" t="s">
        <v>360</v>
      </c>
      <c r="G101" s="128" t="s">
        <v>532</v>
      </c>
      <c r="H101" s="129" t="s">
        <v>533</v>
      </c>
      <c r="I101" s="130">
        <v>1423</v>
      </c>
      <c r="J101" s="131"/>
      <c r="K101" s="130">
        <v>599</v>
      </c>
      <c r="L101" s="130">
        <v>169</v>
      </c>
      <c r="M101" s="132">
        <v>0.28213689482470783</v>
      </c>
      <c r="N101" s="133">
        <v>227305</v>
      </c>
      <c r="O101" s="134"/>
      <c r="P101" s="130">
        <v>824</v>
      </c>
      <c r="Q101" s="130">
        <v>303</v>
      </c>
      <c r="R101" s="132">
        <v>0.36771844660194175</v>
      </c>
      <c r="S101" s="133">
        <v>289365</v>
      </c>
      <c r="T101" s="126"/>
      <c r="U101" s="135">
        <v>472</v>
      </c>
      <c r="V101" s="136">
        <v>516670</v>
      </c>
    </row>
    <row r="102" spans="1:22">
      <c r="A102" s="126">
        <v>135226</v>
      </c>
      <c r="B102" s="127">
        <v>3023523</v>
      </c>
      <c r="C102" s="126">
        <v>302</v>
      </c>
      <c r="D102" s="128" t="s">
        <v>354</v>
      </c>
      <c r="E102" s="127">
        <v>3523</v>
      </c>
      <c r="F102" s="129" t="s">
        <v>268</v>
      </c>
      <c r="G102" s="128" t="s">
        <v>532</v>
      </c>
      <c r="H102" s="129" t="s">
        <v>534</v>
      </c>
      <c r="I102" s="130">
        <v>621</v>
      </c>
      <c r="J102" s="131"/>
      <c r="K102" s="130">
        <v>621</v>
      </c>
      <c r="L102" s="130">
        <v>106</v>
      </c>
      <c r="M102" s="132">
        <v>0.17069243156199679</v>
      </c>
      <c r="N102" s="133">
        <v>142570</v>
      </c>
      <c r="O102" s="134"/>
      <c r="P102" s="130">
        <v>0</v>
      </c>
      <c r="Q102" s="130">
        <v>0</v>
      </c>
      <c r="R102" s="132">
        <v>0</v>
      </c>
      <c r="S102" s="133">
        <v>0</v>
      </c>
      <c r="T102" s="126"/>
      <c r="U102" s="135">
        <v>106</v>
      </c>
      <c r="V102" s="136">
        <v>142570</v>
      </c>
    </row>
    <row r="103" spans="1:22">
      <c r="A103" s="126">
        <v>136402</v>
      </c>
      <c r="B103" s="127">
        <v>3023524</v>
      </c>
      <c r="C103" s="126">
        <v>302</v>
      </c>
      <c r="D103" s="128" t="s">
        <v>354</v>
      </c>
      <c r="E103" s="127">
        <v>3524</v>
      </c>
      <c r="F103" s="129" t="s">
        <v>331</v>
      </c>
      <c r="G103" s="128" t="s">
        <v>532</v>
      </c>
      <c r="H103" s="129" t="s">
        <v>533</v>
      </c>
      <c r="I103" s="130">
        <v>188</v>
      </c>
      <c r="J103" s="131"/>
      <c r="K103" s="130">
        <v>188</v>
      </c>
      <c r="L103" s="130">
        <v>13</v>
      </c>
      <c r="M103" s="132">
        <v>6.9148936170212769E-2</v>
      </c>
      <c r="N103" s="133">
        <v>17485</v>
      </c>
      <c r="O103" s="134"/>
      <c r="P103" s="130">
        <v>0</v>
      </c>
      <c r="Q103" s="130">
        <v>0</v>
      </c>
      <c r="R103" s="132">
        <v>0</v>
      </c>
      <c r="S103" s="133">
        <v>0</v>
      </c>
      <c r="T103" s="126"/>
      <c r="U103" s="135">
        <v>13</v>
      </c>
      <c r="V103" s="136">
        <v>17485</v>
      </c>
    </row>
    <row r="104" spans="1:22">
      <c r="A104" s="126">
        <v>101345</v>
      </c>
      <c r="B104" s="127">
        <v>3024003</v>
      </c>
      <c r="C104" s="126">
        <v>302</v>
      </c>
      <c r="D104" s="128" t="s">
        <v>354</v>
      </c>
      <c r="E104" s="127">
        <v>4003</v>
      </c>
      <c r="F104" s="129" t="s">
        <v>113</v>
      </c>
      <c r="G104" s="128" t="s">
        <v>532</v>
      </c>
      <c r="H104" s="129" t="s">
        <v>535</v>
      </c>
      <c r="I104" s="130">
        <v>759.5</v>
      </c>
      <c r="J104" s="131"/>
      <c r="K104" s="130">
        <v>0</v>
      </c>
      <c r="L104" s="130">
        <v>0</v>
      </c>
      <c r="M104" s="132">
        <v>0</v>
      </c>
      <c r="N104" s="133">
        <v>0</v>
      </c>
      <c r="O104" s="134"/>
      <c r="P104" s="130">
        <v>759.5</v>
      </c>
      <c r="Q104" s="130">
        <v>307.5</v>
      </c>
      <c r="R104" s="132">
        <v>0.40487162606978278</v>
      </c>
      <c r="S104" s="133">
        <v>293662.5</v>
      </c>
      <c r="T104" s="126"/>
      <c r="U104" s="135">
        <v>307.5</v>
      </c>
      <c r="V104" s="136">
        <v>293662.5</v>
      </c>
    </row>
    <row r="105" spans="1:22">
      <c r="A105" s="126">
        <v>142627</v>
      </c>
      <c r="B105" s="127">
        <v>3024004</v>
      </c>
      <c r="C105" s="126">
        <v>302</v>
      </c>
      <c r="D105" s="128" t="s">
        <v>354</v>
      </c>
      <c r="E105" s="127">
        <v>4004</v>
      </c>
      <c r="F105" s="129" t="s">
        <v>355</v>
      </c>
      <c r="G105" s="128" t="s">
        <v>532</v>
      </c>
      <c r="H105" s="129" t="s">
        <v>538</v>
      </c>
      <c r="I105" s="130">
        <v>278</v>
      </c>
      <c r="J105" s="131"/>
      <c r="K105" s="130">
        <v>0</v>
      </c>
      <c r="L105" s="130">
        <v>0</v>
      </c>
      <c r="M105" s="132">
        <v>0</v>
      </c>
      <c r="N105" s="133">
        <v>0</v>
      </c>
      <c r="O105" s="134"/>
      <c r="P105" s="130">
        <v>278</v>
      </c>
      <c r="Q105" s="130">
        <v>16</v>
      </c>
      <c r="R105" s="132">
        <v>5.7553956834532377E-2</v>
      </c>
      <c r="S105" s="133">
        <v>15280</v>
      </c>
      <c r="T105" s="126"/>
      <c r="U105" s="135">
        <v>16</v>
      </c>
      <c r="V105" s="136">
        <v>15280</v>
      </c>
    </row>
    <row r="106" spans="1:22">
      <c r="A106" s="126">
        <v>101356</v>
      </c>
      <c r="B106" s="127">
        <v>3025201</v>
      </c>
      <c r="C106" s="126">
        <v>302</v>
      </c>
      <c r="D106" s="128" t="s">
        <v>354</v>
      </c>
      <c r="E106" s="127">
        <v>5201</v>
      </c>
      <c r="F106" s="129" t="s">
        <v>273</v>
      </c>
      <c r="G106" s="128" t="s">
        <v>532</v>
      </c>
      <c r="H106" s="129" t="s">
        <v>539</v>
      </c>
      <c r="I106" s="130">
        <v>394</v>
      </c>
      <c r="J106" s="131"/>
      <c r="K106" s="130">
        <v>394</v>
      </c>
      <c r="L106" s="130">
        <v>78</v>
      </c>
      <c r="M106" s="132">
        <v>0.19796954314720813</v>
      </c>
      <c r="N106" s="133">
        <v>104910</v>
      </c>
      <c r="O106" s="134"/>
      <c r="P106" s="130">
        <v>0</v>
      </c>
      <c r="Q106" s="130">
        <v>0</v>
      </c>
      <c r="R106" s="132">
        <v>0</v>
      </c>
      <c r="S106" s="133">
        <v>0</v>
      </c>
      <c r="T106" s="126"/>
      <c r="U106" s="135">
        <v>78</v>
      </c>
      <c r="V106" s="136">
        <v>104910</v>
      </c>
    </row>
    <row r="107" spans="1:22">
      <c r="A107" s="126">
        <v>101361</v>
      </c>
      <c r="B107" s="127">
        <v>3025404</v>
      </c>
      <c r="C107" s="126">
        <v>302</v>
      </c>
      <c r="D107" s="128" t="s">
        <v>354</v>
      </c>
      <c r="E107" s="127">
        <v>5404</v>
      </c>
      <c r="F107" s="129" t="s">
        <v>288</v>
      </c>
      <c r="G107" s="128" t="s">
        <v>532</v>
      </c>
      <c r="H107" s="129" t="s">
        <v>534</v>
      </c>
      <c r="I107" s="130">
        <v>542</v>
      </c>
      <c r="J107" s="131"/>
      <c r="K107" s="130">
        <v>0</v>
      </c>
      <c r="L107" s="130">
        <v>0</v>
      </c>
      <c r="M107" s="132">
        <v>0</v>
      </c>
      <c r="N107" s="133">
        <v>0</v>
      </c>
      <c r="O107" s="134"/>
      <c r="P107" s="130">
        <v>542</v>
      </c>
      <c r="Q107" s="130">
        <v>44</v>
      </c>
      <c r="R107" s="132">
        <v>8.1180811808118078E-2</v>
      </c>
      <c r="S107" s="133">
        <v>42020</v>
      </c>
      <c r="T107" s="126"/>
      <c r="U107" s="135">
        <v>44</v>
      </c>
      <c r="V107" s="136">
        <v>42020</v>
      </c>
    </row>
    <row r="108" spans="1:22">
      <c r="A108" s="126">
        <v>101362</v>
      </c>
      <c r="B108" s="127">
        <v>3025405</v>
      </c>
      <c r="C108" s="126">
        <v>302</v>
      </c>
      <c r="D108" s="128" t="s">
        <v>354</v>
      </c>
      <c r="E108" s="127">
        <v>5405</v>
      </c>
      <c r="F108" s="129" t="s">
        <v>112</v>
      </c>
      <c r="G108" s="128" t="s">
        <v>532</v>
      </c>
      <c r="H108" s="129" t="s">
        <v>535</v>
      </c>
      <c r="I108" s="130">
        <v>885</v>
      </c>
      <c r="J108" s="131"/>
      <c r="K108" s="130">
        <v>0</v>
      </c>
      <c r="L108" s="130">
        <v>0</v>
      </c>
      <c r="M108" s="132">
        <v>0</v>
      </c>
      <c r="N108" s="133">
        <v>0</v>
      </c>
      <c r="O108" s="134"/>
      <c r="P108" s="130">
        <v>885</v>
      </c>
      <c r="Q108" s="130">
        <v>116</v>
      </c>
      <c r="R108" s="132">
        <v>0.13107344632768361</v>
      </c>
      <c r="S108" s="133">
        <v>110780</v>
      </c>
      <c r="T108" s="126"/>
      <c r="U108" s="135">
        <v>116</v>
      </c>
      <c r="V108" s="136">
        <v>110780</v>
      </c>
    </row>
    <row r="109" spans="1:22">
      <c r="A109" s="126">
        <v>101364</v>
      </c>
      <c r="B109" s="127">
        <v>3025407</v>
      </c>
      <c r="C109" s="126">
        <v>302</v>
      </c>
      <c r="D109" s="128" t="s">
        <v>354</v>
      </c>
      <c r="E109" s="127">
        <v>5407</v>
      </c>
      <c r="F109" s="129" t="s">
        <v>114</v>
      </c>
      <c r="G109" s="128" t="s">
        <v>532</v>
      </c>
      <c r="H109" s="129" t="s">
        <v>533</v>
      </c>
      <c r="I109" s="130">
        <v>1021</v>
      </c>
      <c r="J109" s="131"/>
      <c r="K109" s="130">
        <v>0</v>
      </c>
      <c r="L109" s="130">
        <v>0</v>
      </c>
      <c r="M109" s="132">
        <v>0</v>
      </c>
      <c r="N109" s="133">
        <v>0</v>
      </c>
      <c r="O109" s="134"/>
      <c r="P109" s="130">
        <v>1021</v>
      </c>
      <c r="Q109" s="130">
        <v>254</v>
      </c>
      <c r="R109" s="132">
        <v>0.24877571008814886</v>
      </c>
      <c r="S109" s="133">
        <v>242570</v>
      </c>
      <c r="T109" s="126"/>
      <c r="U109" s="135">
        <v>254</v>
      </c>
      <c r="V109" s="136">
        <v>242570</v>
      </c>
    </row>
    <row r="110" spans="1:22">
      <c r="A110" s="126">
        <v>135747</v>
      </c>
      <c r="B110" s="127">
        <v>3025427</v>
      </c>
      <c r="C110" s="126">
        <v>302</v>
      </c>
      <c r="D110" s="128" t="s">
        <v>354</v>
      </c>
      <c r="E110" s="127">
        <v>5427</v>
      </c>
      <c r="F110" s="129" t="s">
        <v>301</v>
      </c>
      <c r="G110" s="128" t="s">
        <v>532</v>
      </c>
      <c r="H110" s="129" t="s">
        <v>535</v>
      </c>
      <c r="I110" s="130">
        <v>996</v>
      </c>
      <c r="J110" s="131"/>
      <c r="K110" s="130">
        <v>0</v>
      </c>
      <c r="L110" s="130">
        <v>0</v>
      </c>
      <c r="M110" s="132">
        <v>0</v>
      </c>
      <c r="N110" s="133">
        <v>0</v>
      </c>
      <c r="O110" s="134"/>
      <c r="P110" s="130">
        <v>996</v>
      </c>
      <c r="Q110" s="130">
        <v>65</v>
      </c>
      <c r="R110" s="132">
        <v>6.5261044176706834E-2</v>
      </c>
      <c r="S110" s="133">
        <v>62075</v>
      </c>
      <c r="T110" s="126"/>
      <c r="U110" s="135">
        <v>65</v>
      </c>
      <c r="V110" s="136">
        <v>62075</v>
      </c>
    </row>
    <row r="111" spans="1:22">
      <c r="A111" s="126">
        <v>101376</v>
      </c>
      <c r="B111" s="127">
        <v>3025948</v>
      </c>
      <c r="C111" s="126">
        <v>302</v>
      </c>
      <c r="D111" s="128" t="s">
        <v>354</v>
      </c>
      <c r="E111" s="127">
        <v>5948</v>
      </c>
      <c r="F111" s="129" t="s">
        <v>269</v>
      </c>
      <c r="G111" s="128" t="s">
        <v>532</v>
      </c>
      <c r="H111" s="129" t="s">
        <v>533</v>
      </c>
      <c r="I111" s="130">
        <v>209</v>
      </c>
      <c r="J111" s="131"/>
      <c r="K111" s="130">
        <v>209</v>
      </c>
      <c r="L111" s="130">
        <v>6</v>
      </c>
      <c r="M111" s="132">
        <v>2.8708133971291867E-2</v>
      </c>
      <c r="N111" s="133">
        <v>8070</v>
      </c>
      <c r="O111" s="134"/>
      <c r="P111" s="130">
        <v>0</v>
      </c>
      <c r="Q111" s="130">
        <v>0</v>
      </c>
      <c r="R111" s="132">
        <v>0</v>
      </c>
      <c r="S111" s="133">
        <v>0</v>
      </c>
      <c r="T111" s="126"/>
      <c r="U111" s="135">
        <v>6</v>
      </c>
      <c r="V111" s="136">
        <v>8070</v>
      </c>
    </row>
    <row r="112" spans="1:22">
      <c r="A112" s="126">
        <v>131359</v>
      </c>
      <c r="B112" s="127">
        <v>3025949</v>
      </c>
      <c r="C112" s="126">
        <v>302</v>
      </c>
      <c r="D112" s="128" t="s">
        <v>354</v>
      </c>
      <c r="E112" s="127">
        <v>5949</v>
      </c>
      <c r="F112" s="129" t="s">
        <v>72</v>
      </c>
      <c r="G112" s="128" t="s">
        <v>532</v>
      </c>
      <c r="H112" s="129" t="s">
        <v>533</v>
      </c>
      <c r="I112" s="130">
        <v>379</v>
      </c>
      <c r="J112" s="131"/>
      <c r="K112" s="130">
        <v>379</v>
      </c>
      <c r="L112" s="130">
        <v>13</v>
      </c>
      <c r="M112" s="132">
        <v>3.430079155672823E-2</v>
      </c>
      <c r="N112" s="133">
        <v>17485</v>
      </c>
      <c r="O112" s="134"/>
      <c r="P112" s="130">
        <v>0</v>
      </c>
      <c r="Q112" s="130">
        <v>0</v>
      </c>
      <c r="R112" s="132">
        <v>0</v>
      </c>
      <c r="S112" s="133">
        <v>0</v>
      </c>
      <c r="T112" s="126"/>
      <c r="U112" s="135">
        <v>13</v>
      </c>
      <c r="V112" s="136">
        <v>17485</v>
      </c>
    </row>
    <row r="113" spans="1:22">
      <c r="A113" s="126">
        <v>101395</v>
      </c>
      <c r="B113" s="127">
        <v>3027005</v>
      </c>
      <c r="C113" s="126">
        <v>302</v>
      </c>
      <c r="D113" s="128" t="s">
        <v>354</v>
      </c>
      <c r="E113" s="127">
        <v>7005</v>
      </c>
      <c r="F113" s="129" t="s">
        <v>118</v>
      </c>
      <c r="G113" s="128" t="s">
        <v>540</v>
      </c>
      <c r="H113" s="129" t="s">
        <v>533</v>
      </c>
      <c r="I113" s="130">
        <v>124</v>
      </c>
      <c r="J113" s="131"/>
      <c r="K113" s="130">
        <v>124</v>
      </c>
      <c r="L113" s="130">
        <v>46</v>
      </c>
      <c r="M113" s="132">
        <v>0.37096774193548387</v>
      </c>
      <c r="N113" s="133">
        <v>61870</v>
      </c>
      <c r="O113" s="134"/>
      <c r="P113" s="130">
        <v>0</v>
      </c>
      <c r="Q113" s="130">
        <v>0</v>
      </c>
      <c r="R113" s="132">
        <v>0</v>
      </c>
      <c r="S113" s="133">
        <v>0</v>
      </c>
      <c r="T113" s="126"/>
      <c r="U113" s="135">
        <v>46</v>
      </c>
      <c r="V113" s="136">
        <v>61870</v>
      </c>
    </row>
    <row r="114" spans="1:22">
      <c r="A114" s="126">
        <v>101396</v>
      </c>
      <c r="B114" s="127">
        <v>3027009</v>
      </c>
      <c r="C114" s="126">
        <v>302</v>
      </c>
      <c r="D114" s="128" t="s">
        <v>354</v>
      </c>
      <c r="E114" s="127">
        <v>7009</v>
      </c>
      <c r="F114" s="129" t="s">
        <v>353</v>
      </c>
      <c r="G114" s="128" t="s">
        <v>540</v>
      </c>
      <c r="H114" s="129" t="s">
        <v>535</v>
      </c>
      <c r="I114" s="130">
        <v>115</v>
      </c>
      <c r="J114" s="131"/>
      <c r="K114" s="130">
        <v>115</v>
      </c>
      <c r="L114" s="130">
        <v>43</v>
      </c>
      <c r="M114" s="132">
        <v>0.37391304347826088</v>
      </c>
      <c r="N114" s="133">
        <v>57835</v>
      </c>
      <c r="O114" s="134"/>
      <c r="P114" s="130">
        <v>0</v>
      </c>
      <c r="Q114" s="130">
        <v>0</v>
      </c>
      <c r="R114" s="132">
        <v>0</v>
      </c>
      <c r="S114" s="133">
        <v>0</v>
      </c>
      <c r="T114" s="126"/>
      <c r="U114" s="135">
        <v>43</v>
      </c>
      <c r="V114" s="136">
        <v>57835</v>
      </c>
    </row>
    <row r="115" spans="1:22">
      <c r="A115" s="126">
        <v>101397</v>
      </c>
      <c r="B115" s="127">
        <v>3027010</v>
      </c>
      <c r="C115" s="126">
        <v>302</v>
      </c>
      <c r="D115" s="128" t="s">
        <v>354</v>
      </c>
      <c r="E115" s="127">
        <v>7010</v>
      </c>
      <c r="F115" s="129" t="s">
        <v>117</v>
      </c>
      <c r="G115" s="128" t="s">
        <v>540</v>
      </c>
      <c r="H115" s="129" t="s">
        <v>534</v>
      </c>
      <c r="I115" s="130">
        <v>68</v>
      </c>
      <c r="J115" s="131"/>
      <c r="K115" s="130">
        <v>0</v>
      </c>
      <c r="L115" s="130">
        <v>0</v>
      </c>
      <c r="M115" s="132">
        <v>0</v>
      </c>
      <c r="N115" s="133">
        <v>0</v>
      </c>
      <c r="O115" s="134"/>
      <c r="P115" s="130">
        <v>68</v>
      </c>
      <c r="Q115" s="130">
        <v>35</v>
      </c>
      <c r="R115" s="132">
        <v>0.51470588235294112</v>
      </c>
      <c r="S115" s="133">
        <v>33425</v>
      </c>
      <c r="T115" s="126"/>
      <c r="U115" s="135">
        <v>35</v>
      </c>
      <c r="V115" s="136">
        <v>33425</v>
      </c>
    </row>
    <row r="116" spans="1:22">
      <c r="A116" s="126">
        <v>101255</v>
      </c>
      <c r="B116" s="127">
        <v>3021100</v>
      </c>
      <c r="C116" s="126">
        <v>302</v>
      </c>
      <c r="D116" s="128" t="s">
        <v>354</v>
      </c>
      <c r="E116" s="127">
        <v>1100</v>
      </c>
      <c r="F116" s="129" t="s">
        <v>308</v>
      </c>
      <c r="G116" s="128" t="s">
        <v>325</v>
      </c>
      <c r="H116" s="129" t="s">
        <v>535</v>
      </c>
      <c r="I116" s="130">
        <v>45.5</v>
      </c>
      <c r="J116" s="131"/>
      <c r="K116" s="130">
        <v>2</v>
      </c>
      <c r="L116" s="130">
        <v>1.5</v>
      </c>
      <c r="M116" s="132">
        <v>0.75</v>
      </c>
      <c r="N116" s="133">
        <v>2017.5</v>
      </c>
      <c r="O116" s="134"/>
      <c r="P116" s="130">
        <v>43.5</v>
      </c>
      <c r="Q116" s="130">
        <v>29.5</v>
      </c>
      <c r="R116" s="132">
        <v>0.67816091954022983</v>
      </c>
      <c r="S116" s="133">
        <v>28172.5</v>
      </c>
      <c r="T116" s="126"/>
      <c r="U116" s="135">
        <v>31</v>
      </c>
      <c r="V116" s="136">
        <v>30190</v>
      </c>
    </row>
    <row r="117" spans="1:22">
      <c r="A117" s="126">
        <v>133749</v>
      </c>
      <c r="B117" s="127">
        <v>3021102</v>
      </c>
      <c r="C117" s="126">
        <v>302</v>
      </c>
      <c r="D117" s="128" t="s">
        <v>354</v>
      </c>
      <c r="E117" s="127">
        <v>1102</v>
      </c>
      <c r="F117" s="129" t="s">
        <v>327</v>
      </c>
      <c r="G117" s="128" t="s">
        <v>325</v>
      </c>
      <c r="H117" s="129" t="s">
        <v>533</v>
      </c>
      <c r="I117" s="130">
        <v>8</v>
      </c>
      <c r="J117" s="131"/>
      <c r="K117" s="130">
        <v>0</v>
      </c>
      <c r="L117" s="130">
        <v>0</v>
      </c>
      <c r="M117" s="132">
        <v>0</v>
      </c>
      <c r="N117" s="133">
        <v>0</v>
      </c>
      <c r="O117" s="134"/>
      <c r="P117" s="130">
        <v>8</v>
      </c>
      <c r="Q117" s="130">
        <v>4</v>
      </c>
      <c r="R117" s="132">
        <v>0.5</v>
      </c>
      <c r="S117" s="133">
        <v>3820</v>
      </c>
      <c r="T117" s="126"/>
      <c r="U117" s="135">
        <v>4</v>
      </c>
      <c r="V117" s="136">
        <v>3820</v>
      </c>
    </row>
  </sheetData>
  <mergeCells count="22">
    <mergeCell ref="A19:F19"/>
    <mergeCell ref="A8:F8"/>
    <mergeCell ref="A9:F9"/>
    <mergeCell ref="A10:F10"/>
    <mergeCell ref="A11:F11"/>
    <mergeCell ref="A12:F12"/>
    <mergeCell ref="A13:F13"/>
    <mergeCell ref="A14:F14"/>
    <mergeCell ref="A15:F15"/>
    <mergeCell ref="A16:F16"/>
    <mergeCell ref="A17:F17"/>
    <mergeCell ref="A18:F18"/>
    <mergeCell ref="K28:S28"/>
    <mergeCell ref="U28:V28"/>
    <mergeCell ref="K29:N29"/>
    <mergeCell ref="P29:S29"/>
    <mergeCell ref="A20:F20"/>
    <mergeCell ref="A21:F21"/>
    <mergeCell ref="A22:F22"/>
    <mergeCell ref="A23:F23"/>
    <mergeCell ref="A24:F24"/>
    <mergeCell ref="A25:F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3:BK110"/>
  <sheetViews>
    <sheetView zoomScaleNormal="100" workbookViewId="0">
      <pane xSplit="6" ySplit="4" topLeftCell="G24" activePane="bottomRight" state="frozen"/>
      <selection pane="topRight" activeCell="G1" sqref="G1"/>
      <selection pane="bottomLeft" activeCell="A5" sqref="A5"/>
      <selection pane="bottomRight" activeCell="A57" sqref="A57:IV57"/>
    </sheetView>
  </sheetViews>
  <sheetFormatPr defaultRowHeight="12.75"/>
  <cols>
    <col min="2" max="2" width="35.42578125" bestFit="1" customWidth="1"/>
    <col min="3" max="6" width="13.42578125" bestFit="1" customWidth="1"/>
    <col min="7" max="7" width="14.5703125" bestFit="1" customWidth="1"/>
    <col min="8" max="8" width="12.42578125" bestFit="1" customWidth="1"/>
    <col min="9" max="9" width="13.5703125" bestFit="1" customWidth="1"/>
    <col min="10" max="10" width="4.85546875" bestFit="1" customWidth="1"/>
    <col min="11" max="11" width="13.5703125" bestFit="1" customWidth="1"/>
    <col min="12" max="12" width="12.42578125" bestFit="1" customWidth="1"/>
    <col min="13" max="13" width="10.85546875" bestFit="1" customWidth="1"/>
    <col min="14" max="15" width="12.42578125" bestFit="1" customWidth="1"/>
    <col min="16" max="17" width="10.85546875" bestFit="1" customWidth="1"/>
    <col min="18" max="19" width="12.42578125" bestFit="1" customWidth="1"/>
    <col min="20" max="20" width="9.85546875" bestFit="1" customWidth="1"/>
    <col min="21" max="21" width="12.42578125" bestFit="1" customWidth="1"/>
    <col min="22" max="22" width="10.85546875" bestFit="1" customWidth="1"/>
    <col min="23" max="23" width="12.42578125" bestFit="1" customWidth="1"/>
    <col min="24" max="24" width="12.85546875" bestFit="1" customWidth="1"/>
    <col min="25" max="25" width="10.28515625" bestFit="1" customWidth="1"/>
    <col min="26" max="26" width="12.85546875" bestFit="1" customWidth="1"/>
    <col min="27" max="28" width="11.85546875" bestFit="1" customWidth="1"/>
    <col min="29" max="29" width="10.28515625" bestFit="1" customWidth="1"/>
    <col min="30" max="33" width="11.85546875" bestFit="1" customWidth="1"/>
    <col min="34" max="34" width="10.28515625" bestFit="1" customWidth="1"/>
    <col min="35" max="35" width="11.85546875" bestFit="1" customWidth="1"/>
    <col min="36" max="36" width="10.28515625" bestFit="1" customWidth="1"/>
    <col min="37" max="37" width="11.85546875" bestFit="1" customWidth="1"/>
    <col min="38" max="38" width="10.28515625" bestFit="1" customWidth="1"/>
    <col min="39" max="39" width="11.85546875" bestFit="1" customWidth="1"/>
    <col min="40" max="40" width="10.28515625" bestFit="1" customWidth="1"/>
    <col min="41" max="43" width="11.85546875" bestFit="1" customWidth="1"/>
    <col min="44" max="44" width="10.28515625" bestFit="1" customWidth="1"/>
    <col min="45" max="45" width="11.85546875" bestFit="1" customWidth="1"/>
    <col min="46" max="47" width="10.28515625" bestFit="1" customWidth="1"/>
    <col min="48" max="51" width="11.85546875" bestFit="1" customWidth="1"/>
    <col min="52" max="52" width="4.85546875" bestFit="1" customWidth="1"/>
    <col min="53" max="54" width="11.85546875" bestFit="1" customWidth="1"/>
    <col min="55" max="55" width="10.28515625" bestFit="1" customWidth="1"/>
    <col min="56" max="57" width="10.85546875" bestFit="1" customWidth="1"/>
    <col min="58" max="58" width="12.42578125" bestFit="1" customWidth="1"/>
    <col min="59" max="59" width="8" bestFit="1" customWidth="1"/>
    <col min="60" max="60" width="5.42578125" bestFit="1" customWidth="1"/>
    <col min="61" max="61" width="11.7109375" bestFit="1" customWidth="1"/>
    <col min="62" max="62" width="10.140625" bestFit="1" customWidth="1"/>
    <col min="63" max="63" width="11.7109375" bestFit="1" customWidth="1"/>
  </cols>
  <sheetData>
    <row r="3" spans="1:63">
      <c r="A3" s="467" t="s">
        <v>191</v>
      </c>
      <c r="B3" s="468"/>
      <c r="C3" s="467" t="s">
        <v>289</v>
      </c>
      <c r="D3" s="468"/>
      <c r="E3" s="468"/>
      <c r="F3" s="22"/>
      <c r="G3" s="469" t="s">
        <v>189</v>
      </c>
      <c r="H3" s="470"/>
      <c r="I3" s="470"/>
      <c r="J3" s="470"/>
      <c r="K3" s="470"/>
      <c r="L3" s="470"/>
      <c r="M3" s="470"/>
      <c r="N3" s="470"/>
      <c r="O3" s="470"/>
      <c r="P3" s="470"/>
      <c r="Q3" s="470"/>
      <c r="R3" s="470"/>
      <c r="S3" s="470"/>
      <c r="T3" s="470"/>
      <c r="U3" s="470"/>
      <c r="V3" s="470"/>
      <c r="W3" s="471"/>
      <c r="X3" s="472" t="s">
        <v>190</v>
      </c>
      <c r="Y3" s="473"/>
      <c r="Z3" s="473"/>
      <c r="AA3" s="473"/>
      <c r="AB3" s="473"/>
      <c r="AC3" s="473"/>
      <c r="AD3" s="473"/>
      <c r="AE3" s="473"/>
      <c r="AF3" s="473"/>
      <c r="AG3" s="473"/>
      <c r="AH3" s="473"/>
      <c r="AI3" s="473"/>
      <c r="AJ3" s="473"/>
      <c r="AK3" s="473"/>
      <c r="AL3" s="473"/>
      <c r="AM3" s="473"/>
      <c r="AN3" s="473"/>
      <c r="AO3" s="473"/>
      <c r="AP3" s="473"/>
      <c r="AQ3" s="473"/>
      <c r="AR3" s="473"/>
      <c r="AS3" s="473"/>
      <c r="AT3" s="473"/>
      <c r="AU3" s="473"/>
      <c r="AV3" s="473"/>
      <c r="AW3" s="473"/>
      <c r="AX3" s="473"/>
      <c r="AY3" s="473"/>
      <c r="AZ3" s="473"/>
      <c r="BA3" s="473"/>
      <c r="BB3" s="473"/>
      <c r="BC3" s="474"/>
      <c r="BD3" s="475" t="s">
        <v>290</v>
      </c>
      <c r="BE3" s="466"/>
      <c r="BF3" s="466"/>
      <c r="BG3" s="466" t="s">
        <v>333</v>
      </c>
      <c r="BH3" s="466"/>
      <c r="BI3" s="466"/>
      <c r="BJ3" s="466"/>
      <c r="BK3" s="466"/>
    </row>
    <row r="4" spans="1:63" ht="25.5">
      <c r="A4" s="11" t="s">
        <v>192</v>
      </c>
      <c r="B4" s="11" t="s">
        <v>121</v>
      </c>
      <c r="C4" s="24" t="s">
        <v>291</v>
      </c>
      <c r="D4" s="12" t="s">
        <v>292</v>
      </c>
      <c r="E4" s="24" t="s">
        <v>293</v>
      </c>
      <c r="F4" s="23" t="s">
        <v>322</v>
      </c>
      <c r="G4" s="12" t="s">
        <v>193</v>
      </c>
      <c r="H4" s="12" t="s">
        <v>194</v>
      </c>
      <c r="I4" s="12" t="s">
        <v>195</v>
      </c>
      <c r="J4" s="12" t="s">
        <v>196</v>
      </c>
      <c r="K4" s="12" t="s">
        <v>197</v>
      </c>
      <c r="L4" s="12" t="s">
        <v>198</v>
      </c>
      <c r="M4" s="12" t="s">
        <v>199</v>
      </c>
      <c r="N4" s="12" t="s">
        <v>200</v>
      </c>
      <c r="O4" s="12" t="s">
        <v>201</v>
      </c>
      <c r="P4" s="12" t="s">
        <v>202</v>
      </c>
      <c r="Q4" s="12" t="s">
        <v>203</v>
      </c>
      <c r="R4" s="12" t="s">
        <v>204</v>
      </c>
      <c r="S4" s="12" t="s">
        <v>205</v>
      </c>
      <c r="T4" s="12" t="s">
        <v>206</v>
      </c>
      <c r="U4" s="12" t="s">
        <v>207</v>
      </c>
      <c r="V4" s="12" t="s">
        <v>208</v>
      </c>
      <c r="W4" s="11" t="s">
        <v>316</v>
      </c>
      <c r="X4" s="12" t="s">
        <v>209</v>
      </c>
      <c r="Y4" s="12" t="s">
        <v>210</v>
      </c>
      <c r="Z4" s="12" t="s">
        <v>211</v>
      </c>
      <c r="AA4" s="12" t="s">
        <v>212</v>
      </c>
      <c r="AB4" s="12" t="s">
        <v>213</v>
      </c>
      <c r="AC4" s="12" t="s">
        <v>214</v>
      </c>
      <c r="AD4" s="12" t="s">
        <v>215</v>
      </c>
      <c r="AE4" s="12" t="s">
        <v>216</v>
      </c>
      <c r="AF4" s="12" t="s">
        <v>217</v>
      </c>
      <c r="AG4" s="12" t="s">
        <v>218</v>
      </c>
      <c r="AH4" s="12" t="s">
        <v>219</v>
      </c>
      <c r="AI4" s="12" t="s">
        <v>220</v>
      </c>
      <c r="AJ4" s="12" t="s">
        <v>221</v>
      </c>
      <c r="AK4" s="12" t="s">
        <v>222</v>
      </c>
      <c r="AL4" s="12" t="s">
        <v>223</v>
      </c>
      <c r="AM4" s="12" t="s">
        <v>224</v>
      </c>
      <c r="AN4" s="12" t="s">
        <v>225</v>
      </c>
      <c r="AO4" s="12" t="s">
        <v>226</v>
      </c>
      <c r="AP4" s="12" t="s">
        <v>227</v>
      </c>
      <c r="AQ4" s="12" t="s">
        <v>228</v>
      </c>
      <c r="AR4" s="12" t="s">
        <v>229</v>
      </c>
      <c r="AS4" s="12" t="s">
        <v>230</v>
      </c>
      <c r="AT4" s="12" t="s">
        <v>231</v>
      </c>
      <c r="AU4" s="12" t="s">
        <v>232</v>
      </c>
      <c r="AV4" s="12" t="s">
        <v>233</v>
      </c>
      <c r="AW4" s="12" t="s">
        <v>234</v>
      </c>
      <c r="AX4" s="12" t="s">
        <v>235</v>
      </c>
      <c r="AY4" s="12" t="s">
        <v>236</v>
      </c>
      <c r="AZ4" s="12" t="s">
        <v>237</v>
      </c>
      <c r="BA4" s="12" t="s">
        <v>238</v>
      </c>
      <c r="BB4" s="12" t="s">
        <v>239</v>
      </c>
      <c r="BC4" s="12" t="s">
        <v>240</v>
      </c>
      <c r="BD4" s="12" t="s">
        <v>294</v>
      </c>
      <c r="BE4" s="12" t="s">
        <v>295</v>
      </c>
      <c r="BF4" s="12" t="s">
        <v>296</v>
      </c>
      <c r="BG4" s="12" t="s">
        <v>334</v>
      </c>
      <c r="BH4" s="12" t="s">
        <v>297</v>
      </c>
      <c r="BI4" s="12" t="s">
        <v>298</v>
      </c>
      <c r="BJ4" s="12" t="s">
        <v>299</v>
      </c>
      <c r="BK4" s="12" t="s">
        <v>300</v>
      </c>
    </row>
    <row r="5" spans="1:63">
      <c r="A5" s="18">
        <v>1000</v>
      </c>
      <c r="B5" s="18" t="s">
        <v>27</v>
      </c>
      <c r="C5" s="25">
        <v>217552.11</v>
      </c>
      <c r="D5" s="25">
        <v>0</v>
      </c>
      <c r="E5" s="25">
        <v>-1091.47</v>
      </c>
      <c r="F5" s="25">
        <f>SUM(C5:E5)</f>
        <v>216460.63999999998</v>
      </c>
      <c r="G5" s="25">
        <v>508838</v>
      </c>
      <c r="H5" s="25">
        <v>0</v>
      </c>
      <c r="I5" s="25">
        <v>0</v>
      </c>
      <c r="J5" s="25">
        <v>0</v>
      </c>
      <c r="K5" s="25">
        <v>0</v>
      </c>
      <c r="L5" s="25">
        <v>26616</v>
      </c>
      <c r="M5" s="25">
        <v>27577</v>
      </c>
      <c r="N5" s="25">
        <v>200527</v>
      </c>
      <c r="O5" s="25">
        <v>24787</v>
      </c>
      <c r="P5" s="25">
        <v>0</v>
      </c>
      <c r="Q5" s="25">
        <v>0</v>
      </c>
      <c r="R5" s="25">
        <v>520</v>
      </c>
      <c r="S5" s="25">
        <v>9456</v>
      </c>
      <c r="T5" s="25">
        <v>0</v>
      </c>
      <c r="U5" s="25">
        <v>0</v>
      </c>
      <c r="V5" s="25">
        <v>0</v>
      </c>
      <c r="W5" s="25">
        <v>0</v>
      </c>
      <c r="X5" s="25">
        <v>198840</v>
      </c>
      <c r="Y5" s="25">
        <v>3926</v>
      </c>
      <c r="Z5" s="25">
        <v>321338</v>
      </c>
      <c r="AA5" s="25">
        <v>26649</v>
      </c>
      <c r="AB5" s="25">
        <v>29743</v>
      </c>
      <c r="AC5" s="25">
        <v>0</v>
      </c>
      <c r="AD5" s="25">
        <v>4788</v>
      </c>
      <c r="AE5" s="25">
        <v>2004</v>
      </c>
      <c r="AF5" s="25">
        <v>3811</v>
      </c>
      <c r="AG5" s="25">
        <v>5435</v>
      </c>
      <c r="AH5" s="25">
        <v>607</v>
      </c>
      <c r="AI5" s="25">
        <v>8242</v>
      </c>
      <c r="AJ5" s="25">
        <v>17462</v>
      </c>
      <c r="AK5" s="25">
        <v>1469</v>
      </c>
      <c r="AL5" s="25">
        <v>872</v>
      </c>
      <c r="AM5" s="25">
        <v>2746</v>
      </c>
      <c r="AN5" s="25">
        <v>1995</v>
      </c>
      <c r="AO5" s="25">
        <v>5295</v>
      </c>
      <c r="AP5" s="25">
        <v>21742</v>
      </c>
      <c r="AQ5" s="25">
        <v>7752</v>
      </c>
      <c r="AR5" s="25">
        <v>0</v>
      </c>
      <c r="AS5" s="25">
        <v>6662</v>
      </c>
      <c r="AT5" s="25">
        <v>919</v>
      </c>
      <c r="AU5" s="25">
        <v>1594</v>
      </c>
      <c r="AV5" s="25">
        <v>11097</v>
      </c>
      <c r="AW5" s="25">
        <v>2378</v>
      </c>
      <c r="AX5" s="25">
        <v>1081</v>
      </c>
      <c r="AY5" s="25">
        <v>19875</v>
      </c>
      <c r="AZ5" s="25">
        <v>0</v>
      </c>
      <c r="BA5" s="25">
        <v>0</v>
      </c>
      <c r="BB5" s="25">
        <v>-1</v>
      </c>
      <c r="BC5" s="25">
        <v>0</v>
      </c>
      <c r="BD5" s="25">
        <v>4692</v>
      </c>
      <c r="BE5" s="25">
        <v>0</v>
      </c>
      <c r="BF5" s="25">
        <v>0</v>
      </c>
      <c r="BG5" s="18">
        <v>5000</v>
      </c>
      <c r="BH5" s="18">
        <v>0</v>
      </c>
      <c r="BI5" s="25">
        <v>5358</v>
      </c>
      <c r="BJ5" s="25">
        <v>0</v>
      </c>
      <c r="BK5" s="25">
        <v>3658</v>
      </c>
    </row>
    <row r="6" spans="1:63">
      <c r="A6" s="18">
        <v>1001</v>
      </c>
      <c r="B6" s="18" t="s">
        <v>28</v>
      </c>
      <c r="C6" s="25">
        <v>139822.57</v>
      </c>
      <c r="D6" s="25">
        <v>23105</v>
      </c>
      <c r="E6" s="25">
        <v>12888.71</v>
      </c>
      <c r="F6" s="25">
        <f t="shared" ref="F6:F69" si="0">SUM(C6:E6)</f>
        <v>175816.28</v>
      </c>
      <c r="G6" s="25">
        <v>414728</v>
      </c>
      <c r="H6" s="25">
        <v>0</v>
      </c>
      <c r="I6" s="25">
        <v>6985</v>
      </c>
      <c r="J6" s="25">
        <v>0</v>
      </c>
      <c r="K6" s="25">
        <v>0</v>
      </c>
      <c r="L6" s="25">
        <v>0</v>
      </c>
      <c r="M6" s="25">
        <v>17256</v>
      </c>
      <c r="N6" s="25">
        <v>115367</v>
      </c>
      <c r="O6" s="25">
        <v>0</v>
      </c>
      <c r="P6" s="25">
        <v>0</v>
      </c>
      <c r="Q6" s="25">
        <v>1900</v>
      </c>
      <c r="R6" s="25">
        <v>0</v>
      </c>
      <c r="S6" s="25">
        <v>3319</v>
      </c>
      <c r="T6" s="25">
        <v>0</v>
      </c>
      <c r="U6" s="25">
        <v>238588</v>
      </c>
      <c r="V6" s="25">
        <v>10999</v>
      </c>
      <c r="W6" s="25">
        <v>0</v>
      </c>
      <c r="X6" s="25">
        <v>189302</v>
      </c>
      <c r="Y6" s="25">
        <v>0</v>
      </c>
      <c r="Z6" s="25">
        <v>167825</v>
      </c>
      <c r="AA6" s="25">
        <v>17511</v>
      </c>
      <c r="AB6" s="25">
        <v>23722</v>
      </c>
      <c r="AC6" s="25">
        <v>0</v>
      </c>
      <c r="AD6" s="25">
        <v>12717</v>
      </c>
      <c r="AE6" s="25">
        <v>625</v>
      </c>
      <c r="AF6" s="25">
        <v>2536</v>
      </c>
      <c r="AG6" s="25">
        <v>5877</v>
      </c>
      <c r="AH6" s="25">
        <v>727</v>
      </c>
      <c r="AI6" s="25">
        <v>7364</v>
      </c>
      <c r="AJ6" s="25">
        <v>1150</v>
      </c>
      <c r="AK6" s="25">
        <v>766</v>
      </c>
      <c r="AL6" s="25">
        <v>982</v>
      </c>
      <c r="AM6" s="25">
        <v>1454</v>
      </c>
      <c r="AN6" s="25">
        <v>12291</v>
      </c>
      <c r="AO6" s="25">
        <v>2986</v>
      </c>
      <c r="AP6" s="25">
        <v>13834</v>
      </c>
      <c r="AQ6" s="25">
        <v>5127</v>
      </c>
      <c r="AR6" s="25">
        <v>0</v>
      </c>
      <c r="AS6" s="25">
        <v>7558</v>
      </c>
      <c r="AT6" s="25">
        <v>470</v>
      </c>
      <c r="AU6" s="25">
        <v>180</v>
      </c>
      <c r="AV6" s="25">
        <v>730</v>
      </c>
      <c r="AW6" s="25">
        <v>260</v>
      </c>
      <c r="AX6" s="25">
        <v>46710</v>
      </c>
      <c r="AY6" s="25">
        <v>9756</v>
      </c>
      <c r="AZ6" s="25">
        <v>0</v>
      </c>
      <c r="BA6" s="25">
        <v>0</v>
      </c>
      <c r="BB6" s="25">
        <v>224750</v>
      </c>
      <c r="BC6" s="25">
        <v>32465</v>
      </c>
      <c r="BD6" s="25">
        <v>4516</v>
      </c>
      <c r="BE6" s="25">
        <v>0</v>
      </c>
      <c r="BF6" s="25">
        <v>0</v>
      </c>
      <c r="BG6" s="18">
        <v>5000</v>
      </c>
      <c r="BH6" s="18">
        <v>0</v>
      </c>
      <c r="BI6" s="25">
        <v>0</v>
      </c>
      <c r="BJ6" s="25">
        <v>0</v>
      </c>
      <c r="BK6" s="25">
        <v>3959</v>
      </c>
    </row>
    <row r="7" spans="1:63">
      <c r="A7" s="18">
        <v>1002</v>
      </c>
      <c r="B7" s="18" t="s">
        <v>29</v>
      </c>
      <c r="C7" s="25">
        <v>168489.88</v>
      </c>
      <c r="D7" s="25">
        <v>0</v>
      </c>
      <c r="E7" s="25">
        <v>-0.24</v>
      </c>
      <c r="F7" s="25">
        <f t="shared" si="0"/>
        <v>168489.64</v>
      </c>
      <c r="G7" s="25">
        <v>572009</v>
      </c>
      <c r="H7" s="25">
        <v>0</v>
      </c>
      <c r="I7" s="25">
        <v>9081</v>
      </c>
      <c r="J7" s="25">
        <v>0</v>
      </c>
      <c r="K7" s="25">
        <v>0</v>
      </c>
      <c r="L7" s="25">
        <v>2500</v>
      </c>
      <c r="M7" s="25">
        <v>5347</v>
      </c>
      <c r="N7" s="25">
        <v>153409</v>
      </c>
      <c r="O7" s="25">
        <v>11282</v>
      </c>
      <c r="P7" s="25">
        <v>0</v>
      </c>
      <c r="Q7" s="25">
        <v>0</v>
      </c>
      <c r="R7" s="25">
        <v>0</v>
      </c>
      <c r="S7" s="25">
        <v>3910</v>
      </c>
      <c r="T7" s="25">
        <v>0</v>
      </c>
      <c r="U7" s="25">
        <v>0</v>
      </c>
      <c r="V7" s="25">
        <v>0</v>
      </c>
      <c r="W7" s="25">
        <v>0</v>
      </c>
      <c r="X7" s="25">
        <v>234541</v>
      </c>
      <c r="Y7" s="25">
        <v>3505</v>
      </c>
      <c r="Z7" s="25">
        <v>266181</v>
      </c>
      <c r="AA7" s="25">
        <v>25911</v>
      </c>
      <c r="AB7" s="25">
        <v>32001</v>
      </c>
      <c r="AC7" s="25">
        <v>0</v>
      </c>
      <c r="AD7" s="25">
        <v>23585</v>
      </c>
      <c r="AE7" s="25">
        <v>2212</v>
      </c>
      <c r="AF7" s="25">
        <v>1940</v>
      </c>
      <c r="AG7" s="25">
        <v>2882</v>
      </c>
      <c r="AH7" s="25">
        <v>3870</v>
      </c>
      <c r="AI7" s="25">
        <v>5894</v>
      </c>
      <c r="AJ7" s="25">
        <v>1983</v>
      </c>
      <c r="AK7" s="25">
        <v>1297</v>
      </c>
      <c r="AL7" s="25">
        <v>995</v>
      </c>
      <c r="AM7" s="25">
        <v>5066</v>
      </c>
      <c r="AN7" s="25">
        <v>5770</v>
      </c>
      <c r="AO7" s="25">
        <v>3095</v>
      </c>
      <c r="AP7" s="25">
        <v>10582</v>
      </c>
      <c r="AQ7" s="25">
        <v>7993</v>
      </c>
      <c r="AR7" s="25">
        <v>0</v>
      </c>
      <c r="AS7" s="25">
        <v>4575</v>
      </c>
      <c r="AT7" s="25">
        <v>1100</v>
      </c>
      <c r="AU7" s="25">
        <v>3499</v>
      </c>
      <c r="AV7" s="25">
        <v>11134</v>
      </c>
      <c r="AW7" s="25">
        <v>1110</v>
      </c>
      <c r="AX7" s="25">
        <v>2231</v>
      </c>
      <c r="AY7" s="25">
        <v>16468</v>
      </c>
      <c r="AZ7" s="25">
        <v>0</v>
      </c>
      <c r="BA7" s="25">
        <v>0</v>
      </c>
      <c r="BB7" s="25">
        <v>0</v>
      </c>
      <c r="BC7" s="25">
        <v>0</v>
      </c>
      <c r="BD7" s="25">
        <v>4860</v>
      </c>
      <c r="BE7" s="25">
        <v>0</v>
      </c>
      <c r="BF7" s="25">
        <v>0</v>
      </c>
      <c r="BG7" s="18">
        <v>5000</v>
      </c>
      <c r="BH7" s="18">
        <v>0</v>
      </c>
      <c r="BI7" s="25">
        <v>0</v>
      </c>
      <c r="BJ7" s="25">
        <v>0</v>
      </c>
      <c r="BK7" s="25">
        <v>0</v>
      </c>
    </row>
    <row r="8" spans="1:63">
      <c r="A8" s="18">
        <v>1003</v>
      </c>
      <c r="B8" s="18" t="s">
        <v>30</v>
      </c>
      <c r="C8" s="25">
        <v>113045.70000000001</v>
      </c>
      <c r="D8" s="25">
        <v>23565</v>
      </c>
      <c r="E8" s="25">
        <v>9839.02</v>
      </c>
      <c r="F8" s="25">
        <f t="shared" si="0"/>
        <v>146449.72</v>
      </c>
      <c r="G8" s="25">
        <v>603524</v>
      </c>
      <c r="H8" s="25">
        <v>0</v>
      </c>
      <c r="I8" s="25">
        <v>3492</v>
      </c>
      <c r="J8" s="25">
        <v>0</v>
      </c>
      <c r="K8" s="25">
        <v>0</v>
      </c>
      <c r="L8" s="25">
        <v>23785</v>
      </c>
      <c r="M8" s="25">
        <v>3290</v>
      </c>
      <c r="N8" s="25">
        <v>117407</v>
      </c>
      <c r="O8" s="25">
        <v>12514</v>
      </c>
      <c r="P8" s="25">
        <v>0</v>
      </c>
      <c r="Q8" s="25">
        <v>3224</v>
      </c>
      <c r="R8" s="25">
        <v>1231</v>
      </c>
      <c r="S8" s="25">
        <v>9988</v>
      </c>
      <c r="T8" s="25">
        <v>0</v>
      </c>
      <c r="U8" s="25">
        <v>240054</v>
      </c>
      <c r="V8" s="25">
        <v>2621</v>
      </c>
      <c r="W8" s="25">
        <v>0</v>
      </c>
      <c r="X8" s="25">
        <v>267280</v>
      </c>
      <c r="Y8" s="25">
        <v>6431</v>
      </c>
      <c r="Z8" s="25">
        <v>248067</v>
      </c>
      <c r="AA8" s="25">
        <v>17599</v>
      </c>
      <c r="AB8" s="25">
        <v>43981</v>
      </c>
      <c r="AC8" s="25">
        <v>0</v>
      </c>
      <c r="AD8" s="25">
        <v>24569</v>
      </c>
      <c r="AE8" s="25">
        <v>2498</v>
      </c>
      <c r="AF8" s="25">
        <v>5161</v>
      </c>
      <c r="AG8" s="25">
        <v>6965</v>
      </c>
      <c r="AH8" s="25">
        <v>2115</v>
      </c>
      <c r="AI8" s="25">
        <v>4775</v>
      </c>
      <c r="AJ8" s="25">
        <v>925</v>
      </c>
      <c r="AK8" s="25">
        <v>1057</v>
      </c>
      <c r="AL8" s="25">
        <v>1119</v>
      </c>
      <c r="AM8" s="25">
        <v>4134</v>
      </c>
      <c r="AN8" s="25">
        <v>7500</v>
      </c>
      <c r="AO8" s="25">
        <v>3938</v>
      </c>
      <c r="AP8" s="25">
        <v>19848</v>
      </c>
      <c r="AQ8" s="25">
        <v>7305</v>
      </c>
      <c r="AR8" s="25">
        <v>0</v>
      </c>
      <c r="AS8" s="25">
        <v>5745</v>
      </c>
      <c r="AT8" s="25">
        <v>739</v>
      </c>
      <c r="AU8" s="25">
        <v>997</v>
      </c>
      <c r="AV8" s="25">
        <v>16459</v>
      </c>
      <c r="AW8" s="25">
        <v>175</v>
      </c>
      <c r="AX8" s="25">
        <v>885</v>
      </c>
      <c r="AY8" s="25">
        <v>17522</v>
      </c>
      <c r="AZ8" s="25">
        <v>0</v>
      </c>
      <c r="BA8" s="25">
        <v>0</v>
      </c>
      <c r="BB8" s="25">
        <v>197073</v>
      </c>
      <c r="BC8" s="25">
        <v>53274</v>
      </c>
      <c r="BD8" s="25">
        <v>5000</v>
      </c>
      <c r="BE8" s="25">
        <v>0</v>
      </c>
      <c r="BF8" s="25">
        <v>0</v>
      </c>
      <c r="BG8" s="18">
        <v>5000</v>
      </c>
      <c r="BH8" s="18">
        <v>0</v>
      </c>
      <c r="BI8" s="25">
        <v>7843</v>
      </c>
      <c r="BJ8" s="25">
        <v>0</v>
      </c>
      <c r="BK8" s="25">
        <v>0</v>
      </c>
    </row>
    <row r="9" spans="1:63">
      <c r="A9" s="18">
        <v>3520</v>
      </c>
      <c r="B9" s="18" t="s">
        <v>241</v>
      </c>
      <c r="C9" s="25">
        <v>52536.63</v>
      </c>
      <c r="D9" s="25">
        <v>0</v>
      </c>
      <c r="E9" s="25">
        <v>0</v>
      </c>
      <c r="F9" s="25">
        <f t="shared" si="0"/>
        <v>52536.63</v>
      </c>
      <c r="G9" s="25">
        <v>1542532</v>
      </c>
      <c r="H9" s="25">
        <v>0</v>
      </c>
      <c r="I9" s="25">
        <v>47129</v>
      </c>
      <c r="J9" s="25">
        <v>0</v>
      </c>
      <c r="K9" s="25">
        <v>3986</v>
      </c>
      <c r="L9" s="25">
        <v>5196</v>
      </c>
      <c r="M9" s="25">
        <v>3650</v>
      </c>
      <c r="N9" s="25">
        <v>19141</v>
      </c>
      <c r="O9" s="25">
        <v>87834</v>
      </c>
      <c r="P9" s="25">
        <v>4879</v>
      </c>
      <c r="Q9" s="25">
        <v>2352</v>
      </c>
      <c r="R9" s="25">
        <v>32818</v>
      </c>
      <c r="S9" s="25">
        <v>467631</v>
      </c>
      <c r="T9" s="25">
        <v>0</v>
      </c>
      <c r="U9" s="25">
        <v>0</v>
      </c>
      <c r="V9" s="25">
        <v>0</v>
      </c>
      <c r="W9" s="25">
        <v>49417</v>
      </c>
      <c r="X9" s="25">
        <v>1017671</v>
      </c>
      <c r="Y9" s="25">
        <v>13083</v>
      </c>
      <c r="Z9" s="25">
        <v>371180</v>
      </c>
      <c r="AA9" s="25">
        <v>35034</v>
      </c>
      <c r="AB9" s="25">
        <v>118734</v>
      </c>
      <c r="AC9" s="25">
        <v>0</v>
      </c>
      <c r="AD9" s="25">
        <v>15427</v>
      </c>
      <c r="AE9" s="25">
        <v>14120</v>
      </c>
      <c r="AF9" s="25">
        <v>11263</v>
      </c>
      <c r="AG9" s="25">
        <v>17971</v>
      </c>
      <c r="AH9" s="25">
        <v>5866</v>
      </c>
      <c r="AI9" s="25">
        <v>37933</v>
      </c>
      <c r="AJ9" s="25">
        <v>7834</v>
      </c>
      <c r="AK9" s="25">
        <v>36502</v>
      </c>
      <c r="AL9" s="25">
        <v>4103</v>
      </c>
      <c r="AM9" s="25">
        <v>26780</v>
      </c>
      <c r="AN9" s="25">
        <v>0</v>
      </c>
      <c r="AO9" s="25">
        <v>88046</v>
      </c>
      <c r="AP9" s="25">
        <v>105364</v>
      </c>
      <c r="AQ9" s="25">
        <v>16886</v>
      </c>
      <c r="AR9" s="25">
        <v>0</v>
      </c>
      <c r="AS9" s="25">
        <v>18722</v>
      </c>
      <c r="AT9" s="25">
        <v>19269</v>
      </c>
      <c r="AU9" s="25">
        <v>1258</v>
      </c>
      <c r="AV9" s="25">
        <v>139753</v>
      </c>
      <c r="AW9" s="25">
        <v>54683</v>
      </c>
      <c r="AX9" s="25">
        <v>44421</v>
      </c>
      <c r="AY9" s="25">
        <v>44135</v>
      </c>
      <c r="AZ9" s="25">
        <v>0</v>
      </c>
      <c r="BA9" s="25">
        <v>0</v>
      </c>
      <c r="BB9" s="25">
        <v>0</v>
      </c>
      <c r="BC9" s="25">
        <v>0</v>
      </c>
      <c r="BD9" s="25">
        <v>0</v>
      </c>
      <c r="BE9" s="25">
        <v>0</v>
      </c>
      <c r="BF9" s="25">
        <v>0</v>
      </c>
      <c r="BG9" s="18">
        <v>5000</v>
      </c>
      <c r="BH9" s="18">
        <v>0</v>
      </c>
      <c r="BI9" s="25">
        <v>0</v>
      </c>
      <c r="BJ9" s="25">
        <v>0</v>
      </c>
      <c r="BK9" s="25">
        <v>13609</v>
      </c>
    </row>
    <row r="10" spans="1:63">
      <c r="A10" s="18">
        <v>3317</v>
      </c>
      <c r="B10" s="18" t="s">
        <v>32</v>
      </c>
      <c r="C10" s="25">
        <v>86131.91</v>
      </c>
      <c r="D10" s="25">
        <v>0</v>
      </c>
      <c r="E10" s="25">
        <v>0</v>
      </c>
      <c r="F10" s="25">
        <f t="shared" si="0"/>
        <v>86131.91</v>
      </c>
      <c r="G10" s="25">
        <v>1092687</v>
      </c>
      <c r="H10" s="25">
        <v>0</v>
      </c>
      <c r="I10" s="25">
        <v>30491</v>
      </c>
      <c r="J10" s="25">
        <v>0</v>
      </c>
      <c r="K10" s="25">
        <v>71086</v>
      </c>
      <c r="L10" s="25">
        <v>2375</v>
      </c>
      <c r="M10" s="25">
        <v>370</v>
      </c>
      <c r="N10" s="25">
        <v>26843</v>
      </c>
      <c r="O10" s="25">
        <v>31689</v>
      </c>
      <c r="P10" s="25">
        <v>0</v>
      </c>
      <c r="Q10" s="25">
        <v>297</v>
      </c>
      <c r="R10" s="25">
        <v>24049</v>
      </c>
      <c r="S10" s="25">
        <v>6994</v>
      </c>
      <c r="T10" s="25">
        <v>0</v>
      </c>
      <c r="U10" s="25">
        <v>0</v>
      </c>
      <c r="V10" s="25">
        <v>0</v>
      </c>
      <c r="W10" s="25">
        <v>31945</v>
      </c>
      <c r="X10" s="25">
        <v>565166</v>
      </c>
      <c r="Y10" s="25">
        <v>0</v>
      </c>
      <c r="Z10" s="25">
        <v>245383</v>
      </c>
      <c r="AA10" s="25">
        <v>25336</v>
      </c>
      <c r="AB10" s="25">
        <v>45062</v>
      </c>
      <c r="AC10" s="25">
        <v>0</v>
      </c>
      <c r="AD10" s="25">
        <v>32299</v>
      </c>
      <c r="AE10" s="25">
        <v>5763</v>
      </c>
      <c r="AF10" s="25">
        <v>2969</v>
      </c>
      <c r="AG10" s="25">
        <v>10615</v>
      </c>
      <c r="AH10" s="25">
        <v>1595</v>
      </c>
      <c r="AI10" s="25">
        <v>21467</v>
      </c>
      <c r="AJ10" s="25">
        <v>10875</v>
      </c>
      <c r="AK10" s="25">
        <v>29046</v>
      </c>
      <c r="AL10" s="25">
        <v>4145</v>
      </c>
      <c r="AM10" s="25">
        <v>18056</v>
      </c>
      <c r="AN10" s="25">
        <v>0</v>
      </c>
      <c r="AO10" s="25">
        <v>5274</v>
      </c>
      <c r="AP10" s="25">
        <v>53978</v>
      </c>
      <c r="AQ10" s="25">
        <v>14850</v>
      </c>
      <c r="AR10" s="25">
        <v>0</v>
      </c>
      <c r="AS10" s="25">
        <v>10564</v>
      </c>
      <c r="AT10" s="25">
        <v>4551</v>
      </c>
      <c r="AU10" s="25">
        <v>5887</v>
      </c>
      <c r="AV10" s="25">
        <v>67675</v>
      </c>
      <c r="AW10" s="25">
        <v>34747</v>
      </c>
      <c r="AX10" s="25">
        <v>44858</v>
      </c>
      <c r="AY10" s="25">
        <v>23796</v>
      </c>
      <c r="AZ10" s="25">
        <v>0</v>
      </c>
      <c r="BA10" s="25">
        <v>15803</v>
      </c>
      <c r="BB10" s="25">
        <v>1</v>
      </c>
      <c r="BC10" s="25">
        <v>0</v>
      </c>
      <c r="BD10" s="25">
        <v>0</v>
      </c>
      <c r="BE10" s="25">
        <v>0</v>
      </c>
      <c r="BF10" s="25">
        <v>15803</v>
      </c>
      <c r="BG10" s="18">
        <v>5000</v>
      </c>
      <c r="BH10" s="18">
        <v>0</v>
      </c>
      <c r="BI10" s="25">
        <v>0</v>
      </c>
      <c r="BJ10" s="25">
        <v>0</v>
      </c>
      <c r="BK10" s="25">
        <v>15803</v>
      </c>
    </row>
    <row r="11" spans="1:63">
      <c r="A11" s="18">
        <v>3300</v>
      </c>
      <c r="B11" s="18" t="s">
        <v>33</v>
      </c>
      <c r="C11" s="25">
        <v>217662.24</v>
      </c>
      <c r="D11" s="25">
        <v>0</v>
      </c>
      <c r="E11" s="25">
        <v>0</v>
      </c>
      <c r="F11" s="25">
        <f t="shared" si="0"/>
        <v>217662.24</v>
      </c>
      <c r="G11" s="25">
        <v>988107</v>
      </c>
      <c r="H11" s="25">
        <v>0</v>
      </c>
      <c r="I11" s="25">
        <v>55984</v>
      </c>
      <c r="J11" s="25">
        <v>0</v>
      </c>
      <c r="K11" s="25">
        <v>119500</v>
      </c>
      <c r="L11" s="25">
        <v>1000</v>
      </c>
      <c r="M11" s="25">
        <v>2020</v>
      </c>
      <c r="N11" s="25">
        <v>996</v>
      </c>
      <c r="O11" s="25">
        <v>17750</v>
      </c>
      <c r="P11" s="25">
        <v>23743</v>
      </c>
      <c r="Q11" s="25">
        <v>0</v>
      </c>
      <c r="R11" s="25">
        <v>16057</v>
      </c>
      <c r="S11" s="25">
        <v>11591</v>
      </c>
      <c r="T11" s="25">
        <v>0</v>
      </c>
      <c r="U11" s="25">
        <v>0</v>
      </c>
      <c r="V11" s="25">
        <v>0</v>
      </c>
      <c r="W11" s="25">
        <v>23717</v>
      </c>
      <c r="X11" s="25">
        <v>541402</v>
      </c>
      <c r="Y11" s="25">
        <v>4967</v>
      </c>
      <c r="Z11" s="25">
        <v>259192</v>
      </c>
      <c r="AA11" s="25">
        <v>16143</v>
      </c>
      <c r="AB11" s="25">
        <v>36482</v>
      </c>
      <c r="AC11" s="25">
        <v>0</v>
      </c>
      <c r="AD11" s="25">
        <v>6356</v>
      </c>
      <c r="AE11" s="25">
        <v>2813</v>
      </c>
      <c r="AF11" s="25">
        <v>5180</v>
      </c>
      <c r="AG11" s="25">
        <v>10003</v>
      </c>
      <c r="AH11" s="25">
        <v>0</v>
      </c>
      <c r="AI11" s="25">
        <v>35705</v>
      </c>
      <c r="AJ11" s="25">
        <v>4462</v>
      </c>
      <c r="AK11" s="25">
        <v>24028</v>
      </c>
      <c r="AL11" s="25">
        <v>3006</v>
      </c>
      <c r="AM11" s="25">
        <v>9731</v>
      </c>
      <c r="AN11" s="25">
        <v>0</v>
      </c>
      <c r="AO11" s="25">
        <v>4748</v>
      </c>
      <c r="AP11" s="25">
        <v>48185</v>
      </c>
      <c r="AQ11" s="25">
        <v>12634</v>
      </c>
      <c r="AR11" s="25">
        <v>0</v>
      </c>
      <c r="AS11" s="25">
        <v>10286</v>
      </c>
      <c r="AT11" s="25">
        <v>4773</v>
      </c>
      <c r="AU11" s="25">
        <v>1067</v>
      </c>
      <c r="AV11" s="25">
        <v>47939</v>
      </c>
      <c r="AW11" s="25">
        <v>27411</v>
      </c>
      <c r="AX11" s="25">
        <v>58019</v>
      </c>
      <c r="AY11" s="25">
        <v>29988</v>
      </c>
      <c r="AZ11" s="25">
        <v>0</v>
      </c>
      <c r="BA11" s="25">
        <v>207134</v>
      </c>
      <c r="BB11" s="25">
        <v>1</v>
      </c>
      <c r="BC11" s="25">
        <v>0</v>
      </c>
      <c r="BD11" s="25">
        <v>0</v>
      </c>
      <c r="BE11" s="25">
        <v>30000</v>
      </c>
      <c r="BF11" s="25">
        <v>207134</v>
      </c>
      <c r="BG11" s="18">
        <v>5000</v>
      </c>
      <c r="BH11" s="18">
        <v>0</v>
      </c>
      <c r="BI11" s="25">
        <v>226355</v>
      </c>
      <c r="BJ11" s="25">
        <v>0</v>
      </c>
      <c r="BK11" s="25">
        <v>10778</v>
      </c>
    </row>
    <row r="12" spans="1:63">
      <c r="A12" s="18">
        <v>3500</v>
      </c>
      <c r="B12" s="18" t="s">
        <v>34</v>
      </c>
      <c r="C12" s="25">
        <v>186724.98</v>
      </c>
      <c r="D12" s="25">
        <v>0</v>
      </c>
      <c r="E12" s="25">
        <v>-3280</v>
      </c>
      <c r="F12" s="25">
        <f t="shared" si="0"/>
        <v>183444.98</v>
      </c>
      <c r="G12" s="25">
        <v>887563</v>
      </c>
      <c r="H12" s="25">
        <v>0</v>
      </c>
      <c r="I12" s="25">
        <v>16879</v>
      </c>
      <c r="J12" s="25">
        <v>0</v>
      </c>
      <c r="K12" s="25">
        <v>27558</v>
      </c>
      <c r="L12" s="25">
        <v>2800</v>
      </c>
      <c r="M12" s="25">
        <v>1671</v>
      </c>
      <c r="N12" s="25">
        <v>2296</v>
      </c>
      <c r="O12" s="25">
        <v>10927</v>
      </c>
      <c r="P12" s="25">
        <v>5596</v>
      </c>
      <c r="Q12" s="25">
        <v>0</v>
      </c>
      <c r="R12" s="25">
        <v>0</v>
      </c>
      <c r="S12" s="25">
        <v>0</v>
      </c>
      <c r="T12" s="25">
        <v>0</v>
      </c>
      <c r="U12" s="25">
        <v>0</v>
      </c>
      <c r="V12" s="25">
        <v>0</v>
      </c>
      <c r="W12" s="25">
        <v>44949</v>
      </c>
      <c r="X12" s="25">
        <v>569785</v>
      </c>
      <c r="Y12" s="25">
        <v>0</v>
      </c>
      <c r="Z12" s="25">
        <v>176313</v>
      </c>
      <c r="AA12" s="25">
        <v>10102</v>
      </c>
      <c r="AB12" s="25">
        <v>34621</v>
      </c>
      <c r="AC12" s="25">
        <v>0</v>
      </c>
      <c r="AD12" s="25">
        <v>2991</v>
      </c>
      <c r="AE12" s="25">
        <v>4974</v>
      </c>
      <c r="AF12" s="25">
        <v>6650</v>
      </c>
      <c r="AG12" s="25">
        <v>7189</v>
      </c>
      <c r="AH12" s="25">
        <v>3059</v>
      </c>
      <c r="AI12" s="25">
        <v>45241</v>
      </c>
      <c r="AJ12" s="25">
        <v>302</v>
      </c>
      <c r="AK12" s="25">
        <v>4849</v>
      </c>
      <c r="AL12" s="25">
        <v>808</v>
      </c>
      <c r="AM12" s="25">
        <v>9926</v>
      </c>
      <c r="AN12" s="25">
        <v>0</v>
      </c>
      <c r="AO12" s="25">
        <v>7468</v>
      </c>
      <c r="AP12" s="25">
        <v>20293</v>
      </c>
      <c r="AQ12" s="25">
        <v>20374</v>
      </c>
      <c r="AR12" s="25">
        <v>0</v>
      </c>
      <c r="AS12" s="25">
        <v>7759</v>
      </c>
      <c r="AT12" s="25">
        <v>3727</v>
      </c>
      <c r="AU12" s="25">
        <v>1075</v>
      </c>
      <c r="AV12" s="25">
        <v>60355</v>
      </c>
      <c r="AW12" s="25">
        <v>0</v>
      </c>
      <c r="AX12" s="25">
        <v>12922</v>
      </c>
      <c r="AY12" s="25">
        <v>21423</v>
      </c>
      <c r="AZ12" s="25">
        <v>0</v>
      </c>
      <c r="BA12" s="25">
        <v>40835</v>
      </c>
      <c r="BB12" s="25">
        <v>0</v>
      </c>
      <c r="BC12" s="25">
        <v>0</v>
      </c>
      <c r="BD12" s="25">
        <v>0</v>
      </c>
      <c r="BE12" s="25">
        <v>0</v>
      </c>
      <c r="BF12" s="25">
        <v>40835</v>
      </c>
      <c r="BG12" s="18">
        <v>5000</v>
      </c>
      <c r="BH12" s="18">
        <v>0</v>
      </c>
      <c r="BI12" s="25">
        <v>17149</v>
      </c>
      <c r="BJ12" s="25">
        <v>0</v>
      </c>
      <c r="BK12" s="25">
        <v>20406</v>
      </c>
    </row>
    <row r="13" spans="1:63">
      <c r="A13" s="18">
        <v>3514</v>
      </c>
      <c r="B13" s="18" t="s">
        <v>35</v>
      </c>
      <c r="C13" s="25">
        <v>89688.11</v>
      </c>
      <c r="D13" s="25">
        <v>0</v>
      </c>
      <c r="E13" s="25">
        <v>0</v>
      </c>
      <c r="F13" s="25">
        <f t="shared" si="0"/>
        <v>89688.11</v>
      </c>
      <c r="G13" s="25">
        <v>955678</v>
      </c>
      <c r="H13" s="25">
        <v>0</v>
      </c>
      <c r="I13" s="25">
        <v>31765</v>
      </c>
      <c r="J13" s="25">
        <v>0</v>
      </c>
      <c r="K13" s="25">
        <v>67600</v>
      </c>
      <c r="L13" s="25">
        <v>1400</v>
      </c>
      <c r="M13" s="25">
        <v>1233</v>
      </c>
      <c r="N13" s="25">
        <v>6389</v>
      </c>
      <c r="O13" s="25">
        <v>40925</v>
      </c>
      <c r="P13" s="25">
        <v>8379</v>
      </c>
      <c r="Q13" s="25">
        <v>0</v>
      </c>
      <c r="R13" s="25">
        <v>15026</v>
      </c>
      <c r="S13" s="25">
        <v>411</v>
      </c>
      <c r="T13" s="25">
        <v>0</v>
      </c>
      <c r="U13" s="25">
        <v>0</v>
      </c>
      <c r="V13" s="25">
        <v>0</v>
      </c>
      <c r="W13" s="25">
        <v>8850</v>
      </c>
      <c r="X13" s="25">
        <v>628426</v>
      </c>
      <c r="Y13" s="25">
        <v>5752</v>
      </c>
      <c r="Z13" s="25">
        <v>85283</v>
      </c>
      <c r="AA13" s="25">
        <v>39906</v>
      </c>
      <c r="AB13" s="25">
        <v>21179</v>
      </c>
      <c r="AC13" s="25">
        <v>0</v>
      </c>
      <c r="AD13" s="25">
        <v>4472</v>
      </c>
      <c r="AE13" s="25">
        <v>6613</v>
      </c>
      <c r="AF13" s="25">
        <v>2853</v>
      </c>
      <c r="AG13" s="25">
        <v>8589</v>
      </c>
      <c r="AH13" s="25">
        <v>941</v>
      </c>
      <c r="AI13" s="25">
        <v>16019</v>
      </c>
      <c r="AJ13" s="25">
        <v>6058</v>
      </c>
      <c r="AK13" s="25">
        <v>2350</v>
      </c>
      <c r="AL13" s="25">
        <v>2259</v>
      </c>
      <c r="AM13" s="25">
        <v>9826</v>
      </c>
      <c r="AN13" s="25">
        <v>0</v>
      </c>
      <c r="AO13" s="25">
        <v>4754</v>
      </c>
      <c r="AP13" s="25">
        <v>39008</v>
      </c>
      <c r="AQ13" s="25">
        <v>19978</v>
      </c>
      <c r="AR13" s="25">
        <v>0</v>
      </c>
      <c r="AS13" s="25">
        <v>5438</v>
      </c>
      <c r="AT13" s="25">
        <v>6252</v>
      </c>
      <c r="AU13" s="25">
        <v>14378</v>
      </c>
      <c r="AV13" s="25">
        <v>50075</v>
      </c>
      <c r="AW13" s="25">
        <v>33844</v>
      </c>
      <c r="AX13" s="25">
        <v>90862</v>
      </c>
      <c r="AY13" s="25">
        <v>30248</v>
      </c>
      <c r="AZ13" s="25">
        <v>0</v>
      </c>
      <c r="BA13" s="25">
        <v>15964</v>
      </c>
      <c r="BB13" s="25">
        <v>0</v>
      </c>
      <c r="BC13" s="25">
        <v>0</v>
      </c>
      <c r="BD13" s="25">
        <v>0</v>
      </c>
      <c r="BE13" s="25">
        <v>0</v>
      </c>
      <c r="BF13" s="25">
        <v>15964</v>
      </c>
      <c r="BG13" s="18">
        <v>5000</v>
      </c>
      <c r="BH13" s="18">
        <v>0</v>
      </c>
      <c r="BI13" s="25">
        <v>10000</v>
      </c>
      <c r="BJ13" s="25">
        <v>0</v>
      </c>
      <c r="BK13" s="25">
        <v>5964</v>
      </c>
    </row>
    <row r="14" spans="1:63">
      <c r="A14" s="18">
        <v>2002</v>
      </c>
      <c r="B14" s="18" t="s">
        <v>36</v>
      </c>
      <c r="C14" s="25">
        <v>165216.20000000001</v>
      </c>
      <c r="D14" s="25">
        <v>21388</v>
      </c>
      <c r="E14" s="25">
        <v>-0.42</v>
      </c>
      <c r="F14" s="25">
        <f t="shared" si="0"/>
        <v>186603.78</v>
      </c>
      <c r="G14" s="25">
        <v>2476237</v>
      </c>
      <c r="H14" s="25">
        <v>0</v>
      </c>
      <c r="I14" s="25">
        <v>93529</v>
      </c>
      <c r="J14" s="25">
        <v>0</v>
      </c>
      <c r="K14" s="25">
        <v>328300</v>
      </c>
      <c r="L14" s="25">
        <v>300</v>
      </c>
      <c r="M14" s="25">
        <v>4572</v>
      </c>
      <c r="N14" s="25">
        <v>47362</v>
      </c>
      <c r="O14" s="25">
        <v>42201</v>
      </c>
      <c r="P14" s="25">
        <v>16416</v>
      </c>
      <c r="Q14" s="25">
        <v>3765</v>
      </c>
      <c r="R14" s="25">
        <v>19143</v>
      </c>
      <c r="S14" s="25">
        <v>2520</v>
      </c>
      <c r="T14" s="25">
        <v>0</v>
      </c>
      <c r="U14" s="25">
        <v>349053</v>
      </c>
      <c r="V14" s="25">
        <v>8175</v>
      </c>
      <c r="W14" s="25">
        <v>40366</v>
      </c>
      <c r="X14" s="25">
        <v>1241321</v>
      </c>
      <c r="Y14" s="25">
        <v>0</v>
      </c>
      <c r="Z14" s="25">
        <v>640416</v>
      </c>
      <c r="AA14" s="25">
        <v>38338</v>
      </c>
      <c r="AB14" s="25">
        <v>57341</v>
      </c>
      <c r="AC14" s="25">
        <v>0</v>
      </c>
      <c r="AD14" s="25">
        <v>96182</v>
      </c>
      <c r="AE14" s="25">
        <v>18174</v>
      </c>
      <c r="AF14" s="25">
        <v>7956</v>
      </c>
      <c r="AG14" s="25">
        <v>14031</v>
      </c>
      <c r="AH14" s="25">
        <v>13875</v>
      </c>
      <c r="AI14" s="25">
        <v>32496</v>
      </c>
      <c r="AJ14" s="25">
        <v>800</v>
      </c>
      <c r="AK14" s="25">
        <v>64276</v>
      </c>
      <c r="AL14" s="25">
        <v>-2472</v>
      </c>
      <c r="AM14" s="25">
        <v>36865</v>
      </c>
      <c r="AN14" s="25">
        <v>26028</v>
      </c>
      <c r="AO14" s="25">
        <v>9194</v>
      </c>
      <c r="AP14" s="25">
        <v>158862</v>
      </c>
      <c r="AQ14" s="25">
        <v>22971</v>
      </c>
      <c r="AR14" s="25">
        <v>0</v>
      </c>
      <c r="AS14" s="25">
        <v>34135</v>
      </c>
      <c r="AT14" s="25">
        <v>14409</v>
      </c>
      <c r="AU14" s="25">
        <v>24913</v>
      </c>
      <c r="AV14" s="25">
        <v>115289</v>
      </c>
      <c r="AW14" s="25">
        <v>65287</v>
      </c>
      <c r="AX14" s="25">
        <v>169646</v>
      </c>
      <c r="AY14" s="25">
        <v>20568</v>
      </c>
      <c r="AZ14" s="25">
        <v>0</v>
      </c>
      <c r="BA14" s="25">
        <v>15820</v>
      </c>
      <c r="BB14" s="25">
        <v>267020</v>
      </c>
      <c r="BC14" s="25">
        <v>66079</v>
      </c>
      <c r="BD14" s="25">
        <v>9720</v>
      </c>
      <c r="BE14" s="25">
        <v>0</v>
      </c>
      <c r="BF14" s="25">
        <v>15820</v>
      </c>
      <c r="BG14" s="18">
        <v>5000</v>
      </c>
      <c r="BH14" s="18">
        <v>0</v>
      </c>
      <c r="BI14" s="25">
        <v>0</v>
      </c>
      <c r="BJ14" s="25">
        <v>0</v>
      </c>
      <c r="BK14" s="25">
        <v>15820</v>
      </c>
    </row>
    <row r="15" spans="1:63">
      <c r="A15" s="18">
        <v>2079</v>
      </c>
      <c r="B15" s="18" t="s">
        <v>37</v>
      </c>
      <c r="C15" s="25">
        <v>18233.23</v>
      </c>
      <c r="D15" s="25">
        <v>0</v>
      </c>
      <c r="E15" s="25">
        <v>0</v>
      </c>
      <c r="F15" s="25">
        <f t="shared" si="0"/>
        <v>18233.23</v>
      </c>
      <c r="G15" s="25">
        <v>1843379</v>
      </c>
      <c r="H15" s="25">
        <v>0</v>
      </c>
      <c r="I15" s="25">
        <v>26021</v>
      </c>
      <c r="J15" s="25">
        <v>0</v>
      </c>
      <c r="K15" s="25">
        <v>39690</v>
      </c>
      <c r="L15" s="25">
        <v>-1760</v>
      </c>
      <c r="M15" s="25">
        <v>3240</v>
      </c>
      <c r="N15" s="25">
        <v>14</v>
      </c>
      <c r="O15" s="25">
        <v>22507</v>
      </c>
      <c r="P15" s="25">
        <v>33652</v>
      </c>
      <c r="Q15" s="25">
        <v>7157</v>
      </c>
      <c r="R15" s="25">
        <v>2372</v>
      </c>
      <c r="S15" s="25">
        <v>35737</v>
      </c>
      <c r="T15" s="25">
        <v>0</v>
      </c>
      <c r="U15" s="25">
        <v>0</v>
      </c>
      <c r="V15" s="25">
        <v>0</v>
      </c>
      <c r="W15" s="25">
        <v>50215</v>
      </c>
      <c r="X15" s="25">
        <v>1354029</v>
      </c>
      <c r="Y15" s="25">
        <v>0</v>
      </c>
      <c r="Z15" s="25">
        <v>140017</v>
      </c>
      <c r="AA15" s="25">
        <v>13873</v>
      </c>
      <c r="AB15" s="25">
        <v>92911</v>
      </c>
      <c r="AC15" s="25">
        <v>0</v>
      </c>
      <c r="AD15" s="25">
        <v>62013</v>
      </c>
      <c r="AE15" s="25">
        <v>11595</v>
      </c>
      <c r="AF15" s="25">
        <v>22460</v>
      </c>
      <c r="AG15" s="25">
        <v>17152</v>
      </c>
      <c r="AH15" s="25">
        <v>263</v>
      </c>
      <c r="AI15" s="25">
        <v>15160</v>
      </c>
      <c r="AJ15" s="25">
        <v>0</v>
      </c>
      <c r="AK15" s="25">
        <v>75953</v>
      </c>
      <c r="AL15" s="25">
        <v>6844</v>
      </c>
      <c r="AM15" s="25">
        <v>26218</v>
      </c>
      <c r="AN15" s="25">
        <v>13956</v>
      </c>
      <c r="AO15" s="25">
        <v>20826</v>
      </c>
      <c r="AP15" s="25">
        <v>48098</v>
      </c>
      <c r="AQ15" s="25">
        <v>46996</v>
      </c>
      <c r="AR15" s="25">
        <v>0</v>
      </c>
      <c r="AS15" s="25">
        <v>64135</v>
      </c>
      <c r="AT15" s="25">
        <v>0</v>
      </c>
      <c r="AU15" s="25">
        <v>9961</v>
      </c>
      <c r="AV15" s="25">
        <v>60653</v>
      </c>
      <c r="AW15" s="25">
        <v>0</v>
      </c>
      <c r="AX15" s="25">
        <v>28825</v>
      </c>
      <c r="AY15" s="25">
        <v>26832</v>
      </c>
      <c r="AZ15" s="25">
        <v>0</v>
      </c>
      <c r="BA15" s="25">
        <v>0</v>
      </c>
      <c r="BB15" s="25">
        <v>0</v>
      </c>
      <c r="BC15" s="25">
        <v>0</v>
      </c>
      <c r="BD15" s="25">
        <v>1</v>
      </c>
      <c r="BE15" s="25">
        <v>0</v>
      </c>
      <c r="BF15" s="25">
        <v>0</v>
      </c>
      <c r="BG15" s="18">
        <v>5000</v>
      </c>
      <c r="BH15" s="18">
        <v>0</v>
      </c>
      <c r="BI15" s="25">
        <v>1</v>
      </c>
      <c r="BJ15" s="25">
        <v>0</v>
      </c>
      <c r="BK15" s="25">
        <v>0</v>
      </c>
    </row>
    <row r="16" spans="1:63">
      <c r="A16" s="18">
        <v>3524</v>
      </c>
      <c r="B16" s="18" t="s">
        <v>311</v>
      </c>
      <c r="C16" s="25">
        <v>65947.600000000006</v>
      </c>
      <c r="D16" s="25">
        <v>0</v>
      </c>
      <c r="E16" s="25">
        <v>0</v>
      </c>
      <c r="F16" s="25">
        <f t="shared" si="0"/>
        <v>65947.600000000006</v>
      </c>
      <c r="G16" s="25">
        <v>876009</v>
      </c>
      <c r="H16" s="25">
        <v>0</v>
      </c>
      <c r="I16" s="25">
        <v>146302</v>
      </c>
      <c r="J16" s="25">
        <v>0</v>
      </c>
      <c r="K16" s="25">
        <v>23400</v>
      </c>
      <c r="L16" s="25">
        <v>0</v>
      </c>
      <c r="M16" s="25">
        <v>0</v>
      </c>
      <c r="N16" s="25">
        <v>0</v>
      </c>
      <c r="O16" s="25">
        <v>29032</v>
      </c>
      <c r="P16" s="25">
        <v>0</v>
      </c>
      <c r="Q16" s="25">
        <v>0</v>
      </c>
      <c r="R16" s="25">
        <v>19943</v>
      </c>
      <c r="S16" s="25">
        <v>30000</v>
      </c>
      <c r="T16" s="25">
        <v>18000</v>
      </c>
      <c r="U16" s="25">
        <v>0</v>
      </c>
      <c r="V16" s="25">
        <v>0</v>
      </c>
      <c r="W16" s="25">
        <v>27874</v>
      </c>
      <c r="X16" s="25">
        <v>578848</v>
      </c>
      <c r="Y16" s="25">
        <v>0</v>
      </c>
      <c r="Z16" s="25">
        <v>139317</v>
      </c>
      <c r="AA16" s="25">
        <v>0</v>
      </c>
      <c r="AB16" s="25">
        <v>37970</v>
      </c>
      <c r="AC16" s="25">
        <v>0</v>
      </c>
      <c r="AD16" s="25">
        <v>2146</v>
      </c>
      <c r="AE16" s="25">
        <v>5658</v>
      </c>
      <c r="AF16" s="25">
        <v>13538</v>
      </c>
      <c r="AG16" s="25">
        <v>675</v>
      </c>
      <c r="AH16" s="25">
        <v>4830</v>
      </c>
      <c r="AI16" s="25">
        <v>53657</v>
      </c>
      <c r="AJ16" s="25">
        <v>1439</v>
      </c>
      <c r="AK16" s="25">
        <v>50781</v>
      </c>
      <c r="AL16" s="25">
        <v>1812</v>
      </c>
      <c r="AM16" s="25">
        <v>10849</v>
      </c>
      <c r="AN16" s="25">
        <v>0</v>
      </c>
      <c r="AO16" s="25">
        <v>6597</v>
      </c>
      <c r="AP16" s="25">
        <v>94127</v>
      </c>
      <c r="AQ16" s="25">
        <v>14879</v>
      </c>
      <c r="AR16" s="25">
        <v>0</v>
      </c>
      <c r="AS16" s="25">
        <v>14038</v>
      </c>
      <c r="AT16" s="25">
        <v>9548</v>
      </c>
      <c r="AU16" s="25">
        <v>0</v>
      </c>
      <c r="AV16" s="25">
        <v>47201</v>
      </c>
      <c r="AW16" s="25">
        <v>72780</v>
      </c>
      <c r="AX16" s="25">
        <v>26160</v>
      </c>
      <c r="AY16" s="25">
        <v>22993</v>
      </c>
      <c r="AZ16" s="25">
        <v>0</v>
      </c>
      <c r="BA16" s="25">
        <v>0</v>
      </c>
      <c r="BB16" s="25">
        <v>0</v>
      </c>
      <c r="BC16" s="25">
        <v>0</v>
      </c>
      <c r="BD16" s="25">
        <v>0</v>
      </c>
      <c r="BE16" s="25">
        <v>0</v>
      </c>
      <c r="BF16" s="25">
        <v>0</v>
      </c>
      <c r="BG16" s="18">
        <v>5000</v>
      </c>
      <c r="BH16" s="18">
        <v>0</v>
      </c>
      <c r="BI16" s="25">
        <v>0</v>
      </c>
      <c r="BJ16" s="25">
        <v>0</v>
      </c>
      <c r="BK16" s="25">
        <v>0</v>
      </c>
    </row>
    <row r="17" spans="1:63">
      <c r="A17" s="18">
        <v>2003</v>
      </c>
      <c r="B17" s="18" t="s">
        <v>38</v>
      </c>
      <c r="C17" s="25">
        <v>158993.93</v>
      </c>
      <c r="D17" s="25">
        <v>31931</v>
      </c>
      <c r="E17" s="25">
        <v>0.01</v>
      </c>
      <c r="F17" s="25">
        <f t="shared" si="0"/>
        <v>190924.94</v>
      </c>
      <c r="G17" s="25">
        <v>1876771</v>
      </c>
      <c r="H17" s="25">
        <v>0</v>
      </c>
      <c r="I17" s="25">
        <v>78101</v>
      </c>
      <c r="J17" s="25">
        <v>0</v>
      </c>
      <c r="K17" s="25">
        <v>205065</v>
      </c>
      <c r="L17" s="25">
        <v>3206</v>
      </c>
      <c r="M17" s="25">
        <v>1010</v>
      </c>
      <c r="N17" s="25">
        <v>28483</v>
      </c>
      <c r="O17" s="25">
        <v>29299</v>
      </c>
      <c r="P17" s="25">
        <v>9405</v>
      </c>
      <c r="Q17" s="25">
        <v>14707</v>
      </c>
      <c r="R17" s="25">
        <v>11360</v>
      </c>
      <c r="S17" s="25">
        <v>2019</v>
      </c>
      <c r="T17" s="25">
        <v>0</v>
      </c>
      <c r="U17" s="25">
        <v>269263</v>
      </c>
      <c r="V17" s="25">
        <v>4515</v>
      </c>
      <c r="W17" s="25">
        <v>34617</v>
      </c>
      <c r="X17" s="25">
        <v>982150</v>
      </c>
      <c r="Y17" s="25">
        <v>21049</v>
      </c>
      <c r="Z17" s="25">
        <v>415787</v>
      </c>
      <c r="AA17" s="25">
        <v>62553</v>
      </c>
      <c r="AB17" s="25">
        <v>73727</v>
      </c>
      <c r="AC17" s="25">
        <v>0</v>
      </c>
      <c r="AD17" s="25">
        <v>52289</v>
      </c>
      <c r="AE17" s="25">
        <v>21521</v>
      </c>
      <c r="AF17" s="25">
        <v>31693</v>
      </c>
      <c r="AG17" s="25">
        <v>18903</v>
      </c>
      <c r="AH17" s="25">
        <v>1561</v>
      </c>
      <c r="AI17" s="25">
        <v>58784</v>
      </c>
      <c r="AJ17" s="25">
        <v>3241</v>
      </c>
      <c r="AK17" s="25">
        <v>22336</v>
      </c>
      <c r="AL17" s="25">
        <v>4929</v>
      </c>
      <c r="AM17" s="25">
        <v>27370</v>
      </c>
      <c r="AN17" s="25">
        <v>18545</v>
      </c>
      <c r="AO17" s="25">
        <v>4442</v>
      </c>
      <c r="AP17" s="25">
        <v>83704</v>
      </c>
      <c r="AQ17" s="25">
        <v>22151</v>
      </c>
      <c r="AR17" s="25">
        <v>0</v>
      </c>
      <c r="AS17" s="25">
        <v>37855</v>
      </c>
      <c r="AT17" s="25">
        <v>8307</v>
      </c>
      <c r="AU17" s="25">
        <v>11766</v>
      </c>
      <c r="AV17" s="25">
        <v>90759</v>
      </c>
      <c r="AW17" s="25">
        <v>83702</v>
      </c>
      <c r="AX17" s="25">
        <v>178116</v>
      </c>
      <c r="AY17" s="25">
        <v>38297</v>
      </c>
      <c r="AZ17" s="25">
        <v>0</v>
      </c>
      <c r="BA17" s="25">
        <v>22763</v>
      </c>
      <c r="BB17" s="25">
        <v>230866</v>
      </c>
      <c r="BC17" s="25">
        <v>60784</v>
      </c>
      <c r="BD17" s="25">
        <v>8484</v>
      </c>
      <c r="BE17" s="25">
        <v>0</v>
      </c>
      <c r="BF17" s="25">
        <v>22763</v>
      </c>
      <c r="BG17" s="18">
        <v>5000</v>
      </c>
      <c r="BH17" s="18">
        <v>0</v>
      </c>
      <c r="BI17" s="25">
        <v>25000</v>
      </c>
      <c r="BJ17" s="25">
        <v>0</v>
      </c>
      <c r="BK17" s="25">
        <v>6246</v>
      </c>
    </row>
    <row r="18" spans="1:63">
      <c r="A18" s="18">
        <v>3511</v>
      </c>
      <c r="B18" s="18" t="s">
        <v>39</v>
      </c>
      <c r="C18" s="25">
        <v>217914.42</v>
      </c>
      <c r="D18" s="25">
        <v>0</v>
      </c>
      <c r="E18" s="25">
        <v>0</v>
      </c>
      <c r="F18" s="25">
        <f t="shared" si="0"/>
        <v>217914.42</v>
      </c>
      <c r="G18" s="25">
        <v>1509471</v>
      </c>
      <c r="H18" s="25">
        <v>0</v>
      </c>
      <c r="I18" s="25">
        <v>123412</v>
      </c>
      <c r="J18" s="25">
        <v>0</v>
      </c>
      <c r="K18" s="25">
        <v>116424</v>
      </c>
      <c r="L18" s="25">
        <v>1500</v>
      </c>
      <c r="M18" s="25">
        <v>600</v>
      </c>
      <c r="N18" s="25">
        <v>32648</v>
      </c>
      <c r="O18" s="25">
        <v>33961</v>
      </c>
      <c r="P18" s="25">
        <v>0</v>
      </c>
      <c r="Q18" s="25">
        <v>0</v>
      </c>
      <c r="R18" s="25">
        <v>25561</v>
      </c>
      <c r="S18" s="25">
        <v>13860</v>
      </c>
      <c r="T18" s="25">
        <v>0</v>
      </c>
      <c r="U18" s="25">
        <v>0</v>
      </c>
      <c r="V18" s="25">
        <v>0</v>
      </c>
      <c r="W18" s="25">
        <v>40345</v>
      </c>
      <c r="X18" s="25">
        <v>730536</v>
      </c>
      <c r="Y18" s="25">
        <v>33965</v>
      </c>
      <c r="Z18" s="25">
        <v>330302</v>
      </c>
      <c r="AA18" s="25">
        <v>31873</v>
      </c>
      <c r="AB18" s="25">
        <v>80552</v>
      </c>
      <c r="AC18" s="25">
        <v>0</v>
      </c>
      <c r="AD18" s="25">
        <v>43215</v>
      </c>
      <c r="AE18" s="25">
        <v>17089</v>
      </c>
      <c r="AF18" s="25">
        <v>39904</v>
      </c>
      <c r="AG18" s="25">
        <v>7985</v>
      </c>
      <c r="AH18" s="25">
        <v>1411</v>
      </c>
      <c r="AI18" s="25">
        <v>20658</v>
      </c>
      <c r="AJ18" s="25">
        <v>887</v>
      </c>
      <c r="AK18" s="25">
        <v>14907</v>
      </c>
      <c r="AL18" s="25">
        <v>6860</v>
      </c>
      <c r="AM18" s="25">
        <v>18893</v>
      </c>
      <c r="AN18" s="25">
        <v>0</v>
      </c>
      <c r="AO18" s="25">
        <v>18043</v>
      </c>
      <c r="AP18" s="25">
        <v>129896</v>
      </c>
      <c r="AQ18" s="25">
        <v>37853</v>
      </c>
      <c r="AR18" s="25">
        <v>0</v>
      </c>
      <c r="AS18" s="25">
        <v>20577</v>
      </c>
      <c r="AT18" s="25">
        <v>8769</v>
      </c>
      <c r="AU18" s="25">
        <v>38843</v>
      </c>
      <c r="AV18" s="25">
        <v>92907</v>
      </c>
      <c r="AW18" s="25">
        <v>68540</v>
      </c>
      <c r="AX18" s="25">
        <v>85253</v>
      </c>
      <c r="AY18" s="25">
        <v>26115</v>
      </c>
      <c r="AZ18" s="25">
        <v>0</v>
      </c>
      <c r="BA18" s="25">
        <v>67950</v>
      </c>
      <c r="BB18" s="25">
        <v>1</v>
      </c>
      <c r="BC18" s="25">
        <v>0</v>
      </c>
      <c r="BD18" s="25">
        <v>0</v>
      </c>
      <c r="BE18" s="25">
        <v>0</v>
      </c>
      <c r="BF18" s="25">
        <v>67950</v>
      </c>
      <c r="BG18" s="18">
        <v>5000</v>
      </c>
      <c r="BH18" s="18">
        <v>0</v>
      </c>
      <c r="BI18" s="25">
        <v>40003</v>
      </c>
      <c r="BJ18" s="25">
        <v>13860</v>
      </c>
      <c r="BK18" s="25">
        <v>14087</v>
      </c>
    </row>
    <row r="19" spans="1:63">
      <c r="A19" s="18">
        <v>2008</v>
      </c>
      <c r="B19" s="18" t="s">
        <v>40</v>
      </c>
      <c r="C19" s="25">
        <v>62439.79</v>
      </c>
      <c r="D19" s="25">
        <v>0</v>
      </c>
      <c r="E19" s="25">
        <v>7330</v>
      </c>
      <c r="F19" s="25">
        <f t="shared" si="0"/>
        <v>69769.790000000008</v>
      </c>
      <c r="G19" s="25">
        <v>1245208</v>
      </c>
      <c r="H19" s="25">
        <v>0</v>
      </c>
      <c r="I19" s="25">
        <v>41434</v>
      </c>
      <c r="J19" s="25">
        <v>0</v>
      </c>
      <c r="K19" s="25">
        <v>66150</v>
      </c>
      <c r="L19" s="25">
        <v>3710</v>
      </c>
      <c r="M19" s="25">
        <v>1610</v>
      </c>
      <c r="N19" s="25">
        <v>30223</v>
      </c>
      <c r="O19" s="25">
        <v>17625</v>
      </c>
      <c r="P19" s="25">
        <v>38497</v>
      </c>
      <c r="Q19" s="25">
        <v>344</v>
      </c>
      <c r="R19" s="25">
        <v>19625</v>
      </c>
      <c r="S19" s="25">
        <v>2516</v>
      </c>
      <c r="T19" s="25">
        <v>0</v>
      </c>
      <c r="U19" s="25">
        <v>0</v>
      </c>
      <c r="V19" s="25">
        <v>0</v>
      </c>
      <c r="W19" s="25">
        <v>58333</v>
      </c>
      <c r="X19" s="25">
        <v>629652</v>
      </c>
      <c r="Y19" s="25">
        <v>0</v>
      </c>
      <c r="Z19" s="25">
        <v>294778</v>
      </c>
      <c r="AA19" s="25">
        <v>33374</v>
      </c>
      <c r="AB19" s="25">
        <v>63999</v>
      </c>
      <c r="AC19" s="25">
        <v>0</v>
      </c>
      <c r="AD19" s="25">
        <v>29597</v>
      </c>
      <c r="AE19" s="25">
        <v>13563</v>
      </c>
      <c r="AF19" s="25">
        <v>9309</v>
      </c>
      <c r="AG19" s="25">
        <v>7153</v>
      </c>
      <c r="AH19" s="25">
        <v>7359</v>
      </c>
      <c r="AI19" s="25">
        <v>13255</v>
      </c>
      <c r="AJ19" s="25">
        <v>5369</v>
      </c>
      <c r="AK19" s="25">
        <v>15553</v>
      </c>
      <c r="AL19" s="25">
        <v>3697</v>
      </c>
      <c r="AM19" s="25">
        <v>21975</v>
      </c>
      <c r="AN19" s="25">
        <v>16315</v>
      </c>
      <c r="AO19" s="25">
        <v>7560</v>
      </c>
      <c r="AP19" s="25">
        <v>38181</v>
      </c>
      <c r="AQ19" s="25">
        <v>16967</v>
      </c>
      <c r="AR19" s="25">
        <v>0</v>
      </c>
      <c r="AS19" s="25">
        <v>9278</v>
      </c>
      <c r="AT19" s="25">
        <v>5990</v>
      </c>
      <c r="AU19" s="25">
        <v>10794</v>
      </c>
      <c r="AV19" s="25">
        <v>82369</v>
      </c>
      <c r="AW19" s="25">
        <v>139052</v>
      </c>
      <c r="AX19" s="25">
        <v>13541</v>
      </c>
      <c r="AY19" s="25">
        <v>29244</v>
      </c>
      <c r="AZ19" s="25">
        <v>0</v>
      </c>
      <c r="BA19" s="25">
        <v>11765</v>
      </c>
      <c r="BB19" s="25">
        <v>0</v>
      </c>
      <c r="BC19" s="25">
        <v>0</v>
      </c>
      <c r="BD19" s="25">
        <v>7285</v>
      </c>
      <c r="BE19" s="25">
        <v>29874</v>
      </c>
      <c r="BF19" s="25">
        <v>11765</v>
      </c>
      <c r="BG19" s="18">
        <v>5000</v>
      </c>
      <c r="BH19" s="18">
        <v>0</v>
      </c>
      <c r="BI19" s="25">
        <v>15508</v>
      </c>
      <c r="BJ19" s="25">
        <v>0</v>
      </c>
      <c r="BK19" s="25">
        <v>33415</v>
      </c>
    </row>
    <row r="20" spans="1:63">
      <c r="A20" s="18">
        <v>2007</v>
      </c>
      <c r="B20" s="18" t="s">
        <v>41</v>
      </c>
      <c r="C20" s="25">
        <v>196812.72</v>
      </c>
      <c r="D20" s="25">
        <v>0</v>
      </c>
      <c r="E20" s="25">
        <v>10387</v>
      </c>
      <c r="F20" s="25">
        <f t="shared" si="0"/>
        <v>207199.72</v>
      </c>
      <c r="G20" s="25">
        <v>1406719</v>
      </c>
      <c r="H20" s="25">
        <v>0</v>
      </c>
      <c r="I20" s="25">
        <v>117915</v>
      </c>
      <c r="J20" s="25">
        <v>0</v>
      </c>
      <c r="K20" s="25">
        <v>72019</v>
      </c>
      <c r="L20" s="25">
        <v>6650</v>
      </c>
      <c r="M20" s="25">
        <v>1340</v>
      </c>
      <c r="N20" s="25">
        <v>35300</v>
      </c>
      <c r="O20" s="25">
        <v>54085</v>
      </c>
      <c r="P20" s="25">
        <v>4788</v>
      </c>
      <c r="Q20" s="25">
        <v>0</v>
      </c>
      <c r="R20" s="25">
        <v>45994</v>
      </c>
      <c r="S20" s="25">
        <v>6497</v>
      </c>
      <c r="T20" s="25">
        <v>0</v>
      </c>
      <c r="U20" s="25">
        <v>0</v>
      </c>
      <c r="V20" s="25">
        <v>0</v>
      </c>
      <c r="W20" s="25">
        <v>9496</v>
      </c>
      <c r="X20" s="25">
        <v>812160</v>
      </c>
      <c r="Y20" s="25">
        <v>0</v>
      </c>
      <c r="Z20" s="25">
        <v>255808</v>
      </c>
      <c r="AA20" s="25">
        <v>40729</v>
      </c>
      <c r="AB20" s="25">
        <v>49625</v>
      </c>
      <c r="AC20" s="25">
        <v>0</v>
      </c>
      <c r="AD20" s="25">
        <v>29343</v>
      </c>
      <c r="AE20" s="25">
        <v>11527</v>
      </c>
      <c r="AF20" s="25">
        <v>14656</v>
      </c>
      <c r="AG20" s="25">
        <v>14281</v>
      </c>
      <c r="AH20" s="25">
        <v>1499</v>
      </c>
      <c r="AI20" s="25">
        <v>24754</v>
      </c>
      <c r="AJ20" s="25">
        <v>5084</v>
      </c>
      <c r="AK20" s="25">
        <v>18631</v>
      </c>
      <c r="AL20" s="25">
        <v>3674</v>
      </c>
      <c r="AM20" s="25">
        <v>23044</v>
      </c>
      <c r="AN20" s="25">
        <v>16315</v>
      </c>
      <c r="AO20" s="25">
        <v>7183</v>
      </c>
      <c r="AP20" s="25">
        <v>68953</v>
      </c>
      <c r="AQ20" s="25">
        <v>21135</v>
      </c>
      <c r="AR20" s="25">
        <v>0</v>
      </c>
      <c r="AS20" s="25">
        <v>14318</v>
      </c>
      <c r="AT20" s="25">
        <v>7177</v>
      </c>
      <c r="AU20" s="25">
        <v>4700</v>
      </c>
      <c r="AV20" s="25">
        <v>65226</v>
      </c>
      <c r="AW20" s="25">
        <v>30175</v>
      </c>
      <c r="AX20" s="25">
        <v>171729</v>
      </c>
      <c r="AY20" s="25">
        <v>41479</v>
      </c>
      <c r="AZ20" s="25">
        <v>0</v>
      </c>
      <c r="BA20" s="25">
        <v>43713</v>
      </c>
      <c r="BB20" s="25">
        <v>0</v>
      </c>
      <c r="BC20" s="25">
        <v>0</v>
      </c>
      <c r="BD20" s="25">
        <v>8028</v>
      </c>
      <c r="BE20" s="25">
        <v>0</v>
      </c>
      <c r="BF20" s="25">
        <v>43713</v>
      </c>
      <c r="BG20" s="18">
        <v>5000</v>
      </c>
      <c r="BH20" s="18">
        <v>0</v>
      </c>
      <c r="BI20" s="25">
        <v>6329</v>
      </c>
      <c r="BJ20" s="25">
        <v>0</v>
      </c>
      <c r="BK20" s="25">
        <v>45412</v>
      </c>
    </row>
    <row r="21" spans="1:63">
      <c r="A21" s="18">
        <v>2009</v>
      </c>
      <c r="B21" s="18" t="s">
        <v>42</v>
      </c>
      <c r="C21" s="25">
        <v>221224.95</v>
      </c>
      <c r="D21" s="25">
        <v>0</v>
      </c>
      <c r="E21" s="25">
        <v>7508.08</v>
      </c>
      <c r="F21" s="25">
        <f t="shared" si="0"/>
        <v>228733.03</v>
      </c>
      <c r="G21" s="25">
        <v>1536779</v>
      </c>
      <c r="H21" s="25">
        <v>0</v>
      </c>
      <c r="I21" s="25">
        <v>14612</v>
      </c>
      <c r="J21" s="25">
        <v>0</v>
      </c>
      <c r="K21" s="25">
        <v>141630</v>
      </c>
      <c r="L21" s="25">
        <v>16085</v>
      </c>
      <c r="M21" s="25">
        <v>740</v>
      </c>
      <c r="N21" s="25">
        <v>71833</v>
      </c>
      <c r="O21" s="25">
        <v>27864</v>
      </c>
      <c r="P21" s="25">
        <v>2990</v>
      </c>
      <c r="Q21" s="25">
        <v>2285</v>
      </c>
      <c r="R21" s="25">
        <v>7297</v>
      </c>
      <c r="S21" s="25">
        <v>3056</v>
      </c>
      <c r="T21" s="25">
        <v>0</v>
      </c>
      <c r="U21" s="25">
        <v>0</v>
      </c>
      <c r="V21" s="25">
        <v>0</v>
      </c>
      <c r="W21" s="25">
        <v>42139</v>
      </c>
      <c r="X21" s="25">
        <v>758303</v>
      </c>
      <c r="Y21" s="25">
        <v>0</v>
      </c>
      <c r="Z21" s="25">
        <v>425937</v>
      </c>
      <c r="AA21" s="25">
        <v>31548</v>
      </c>
      <c r="AB21" s="25">
        <v>61959</v>
      </c>
      <c r="AC21" s="25">
        <v>0</v>
      </c>
      <c r="AD21" s="25">
        <v>43568</v>
      </c>
      <c r="AE21" s="25">
        <v>14057</v>
      </c>
      <c r="AF21" s="25">
        <v>11322</v>
      </c>
      <c r="AG21" s="25">
        <v>12838</v>
      </c>
      <c r="AH21" s="25">
        <v>1378</v>
      </c>
      <c r="AI21" s="25">
        <v>19596</v>
      </c>
      <c r="AJ21" s="25">
        <v>3492</v>
      </c>
      <c r="AK21" s="25">
        <v>27644</v>
      </c>
      <c r="AL21" s="25">
        <v>3552</v>
      </c>
      <c r="AM21" s="25">
        <v>29902</v>
      </c>
      <c r="AN21" s="25">
        <v>11069</v>
      </c>
      <c r="AO21" s="25">
        <v>5981</v>
      </c>
      <c r="AP21" s="25">
        <v>78730</v>
      </c>
      <c r="AQ21" s="25">
        <v>11969</v>
      </c>
      <c r="AR21" s="25">
        <v>0</v>
      </c>
      <c r="AS21" s="25">
        <v>10423</v>
      </c>
      <c r="AT21" s="25">
        <v>8969</v>
      </c>
      <c r="AU21" s="25">
        <v>14310</v>
      </c>
      <c r="AV21" s="25">
        <v>76177</v>
      </c>
      <c r="AW21" s="25">
        <v>48486</v>
      </c>
      <c r="AX21" s="25">
        <v>78464</v>
      </c>
      <c r="AY21" s="25">
        <v>23068</v>
      </c>
      <c r="AZ21" s="25">
        <v>0</v>
      </c>
      <c r="BA21" s="25">
        <v>71175</v>
      </c>
      <c r="BB21" s="25">
        <v>-1</v>
      </c>
      <c r="BC21" s="25">
        <v>0</v>
      </c>
      <c r="BD21" s="25">
        <v>7236</v>
      </c>
      <c r="BE21" s="25">
        <v>37112</v>
      </c>
      <c r="BF21" s="25">
        <v>71175</v>
      </c>
      <c r="BG21" s="18">
        <v>5000</v>
      </c>
      <c r="BH21" s="18">
        <v>0</v>
      </c>
      <c r="BI21" s="25">
        <v>11164</v>
      </c>
      <c r="BJ21" s="25">
        <v>70269</v>
      </c>
      <c r="BK21" s="25">
        <v>39558</v>
      </c>
    </row>
    <row r="22" spans="1:63">
      <c r="A22" s="18">
        <v>2067</v>
      </c>
      <c r="B22" s="18" t="s">
        <v>43</v>
      </c>
      <c r="C22" s="25">
        <v>83294.649999999994</v>
      </c>
      <c r="D22" s="25">
        <v>0</v>
      </c>
      <c r="E22" s="25">
        <v>-0.6</v>
      </c>
      <c r="F22" s="25">
        <f t="shared" si="0"/>
        <v>83294.049999999988</v>
      </c>
      <c r="G22" s="25">
        <v>1016553</v>
      </c>
      <c r="H22" s="25">
        <v>0</v>
      </c>
      <c r="I22" s="25">
        <v>31430</v>
      </c>
      <c r="J22" s="25">
        <v>0</v>
      </c>
      <c r="K22" s="25">
        <v>83800</v>
      </c>
      <c r="L22" s="25">
        <v>25135</v>
      </c>
      <c r="M22" s="25">
        <v>8238</v>
      </c>
      <c r="N22" s="25">
        <v>18488</v>
      </c>
      <c r="O22" s="25">
        <v>25156</v>
      </c>
      <c r="P22" s="25">
        <v>35739</v>
      </c>
      <c r="Q22" s="25">
        <v>-55</v>
      </c>
      <c r="R22" s="25">
        <v>18079</v>
      </c>
      <c r="S22" s="25">
        <v>2559</v>
      </c>
      <c r="T22" s="25">
        <v>0</v>
      </c>
      <c r="U22" s="25">
        <v>0</v>
      </c>
      <c r="V22" s="25">
        <v>0</v>
      </c>
      <c r="W22" s="25">
        <v>25049</v>
      </c>
      <c r="X22" s="25">
        <v>563574</v>
      </c>
      <c r="Y22" s="25">
        <v>0</v>
      </c>
      <c r="Z22" s="25">
        <v>188680</v>
      </c>
      <c r="AA22" s="25">
        <v>26060</v>
      </c>
      <c r="AB22" s="25">
        <v>49157</v>
      </c>
      <c r="AC22" s="25">
        <v>0</v>
      </c>
      <c r="AD22" s="25">
        <v>14322</v>
      </c>
      <c r="AE22" s="25">
        <v>18377</v>
      </c>
      <c r="AF22" s="25">
        <v>3053</v>
      </c>
      <c r="AG22" s="25">
        <v>9596</v>
      </c>
      <c r="AH22" s="25">
        <v>865</v>
      </c>
      <c r="AI22" s="25">
        <v>13971</v>
      </c>
      <c r="AJ22" s="25">
        <v>4872</v>
      </c>
      <c r="AK22" s="25">
        <v>25632</v>
      </c>
      <c r="AL22" s="25">
        <v>2396</v>
      </c>
      <c r="AM22" s="25">
        <v>11976</v>
      </c>
      <c r="AN22" s="25">
        <v>14701</v>
      </c>
      <c r="AO22" s="25">
        <v>8692</v>
      </c>
      <c r="AP22" s="25">
        <v>78120</v>
      </c>
      <c r="AQ22" s="25">
        <v>15541</v>
      </c>
      <c r="AR22" s="25">
        <v>0</v>
      </c>
      <c r="AS22" s="25">
        <v>7027</v>
      </c>
      <c r="AT22" s="25">
        <v>4690</v>
      </c>
      <c r="AU22" s="25">
        <v>12051</v>
      </c>
      <c r="AV22" s="25">
        <v>51974</v>
      </c>
      <c r="AW22" s="25">
        <v>42062</v>
      </c>
      <c r="AX22" s="25">
        <v>62029</v>
      </c>
      <c r="AY22" s="25">
        <v>19731</v>
      </c>
      <c r="AZ22" s="25">
        <v>0</v>
      </c>
      <c r="BA22" s="25">
        <v>10651</v>
      </c>
      <c r="BB22" s="25">
        <v>2</v>
      </c>
      <c r="BC22" s="25">
        <v>0</v>
      </c>
      <c r="BD22" s="25">
        <v>6296</v>
      </c>
      <c r="BE22" s="25">
        <v>0</v>
      </c>
      <c r="BF22" s="25">
        <v>10651</v>
      </c>
      <c r="BG22" s="18">
        <v>5000</v>
      </c>
      <c r="BH22" s="18">
        <v>0</v>
      </c>
      <c r="BI22" s="25">
        <v>16946</v>
      </c>
      <c r="BJ22" s="25">
        <v>0</v>
      </c>
      <c r="BK22" s="25">
        <v>0</v>
      </c>
    </row>
    <row r="23" spans="1:63">
      <c r="A23" s="18">
        <v>2010</v>
      </c>
      <c r="B23" s="18" t="s">
        <v>44</v>
      </c>
      <c r="C23" s="25">
        <v>223948.61</v>
      </c>
      <c r="D23" s="25">
        <v>23381</v>
      </c>
      <c r="E23" s="25">
        <v>1</v>
      </c>
      <c r="F23" s="25">
        <f t="shared" si="0"/>
        <v>247330.61</v>
      </c>
      <c r="G23" s="25">
        <v>1833804</v>
      </c>
      <c r="H23" s="25">
        <v>0</v>
      </c>
      <c r="I23" s="25">
        <v>398697</v>
      </c>
      <c r="J23" s="25">
        <v>0</v>
      </c>
      <c r="K23" s="25">
        <v>209878</v>
      </c>
      <c r="L23" s="25">
        <v>10025</v>
      </c>
      <c r="M23" s="25">
        <v>31804</v>
      </c>
      <c r="N23" s="25">
        <v>30223</v>
      </c>
      <c r="O23" s="25">
        <v>31354</v>
      </c>
      <c r="P23" s="25">
        <v>0</v>
      </c>
      <c r="Q23" s="25">
        <v>11041</v>
      </c>
      <c r="R23" s="25">
        <v>20468</v>
      </c>
      <c r="S23" s="25">
        <v>7409</v>
      </c>
      <c r="T23" s="25">
        <v>0</v>
      </c>
      <c r="U23" s="25">
        <v>278146</v>
      </c>
      <c r="V23" s="25">
        <v>2153</v>
      </c>
      <c r="W23" s="25">
        <v>29673</v>
      </c>
      <c r="X23" s="25">
        <v>1020164</v>
      </c>
      <c r="Y23" s="25">
        <v>0</v>
      </c>
      <c r="Z23" s="25">
        <v>704934</v>
      </c>
      <c r="AA23" s="25">
        <v>73265</v>
      </c>
      <c r="AB23" s="25">
        <v>94136</v>
      </c>
      <c r="AC23" s="25">
        <v>0</v>
      </c>
      <c r="AD23" s="25">
        <v>40412</v>
      </c>
      <c r="AE23" s="25">
        <v>49731</v>
      </c>
      <c r="AF23" s="25">
        <v>15870</v>
      </c>
      <c r="AG23" s="25">
        <v>24816</v>
      </c>
      <c r="AH23" s="25">
        <v>1353</v>
      </c>
      <c r="AI23" s="25">
        <v>61167</v>
      </c>
      <c r="AJ23" s="25">
        <v>2333</v>
      </c>
      <c r="AK23" s="25">
        <v>4649</v>
      </c>
      <c r="AL23" s="25">
        <v>3505</v>
      </c>
      <c r="AM23" s="25">
        <v>18828</v>
      </c>
      <c r="AN23" s="25">
        <v>20469</v>
      </c>
      <c r="AO23" s="25">
        <v>12153</v>
      </c>
      <c r="AP23" s="25">
        <v>99849</v>
      </c>
      <c r="AQ23" s="25">
        <v>36211</v>
      </c>
      <c r="AR23" s="25">
        <v>0</v>
      </c>
      <c r="AS23" s="25">
        <v>19405</v>
      </c>
      <c r="AT23" s="25">
        <v>8722</v>
      </c>
      <c r="AU23" s="25">
        <v>10569</v>
      </c>
      <c r="AV23" s="25">
        <v>81376</v>
      </c>
      <c r="AW23" s="25">
        <v>102099</v>
      </c>
      <c r="AX23" s="25">
        <v>149557</v>
      </c>
      <c r="AY23" s="25">
        <v>51345</v>
      </c>
      <c r="AZ23" s="25">
        <v>0</v>
      </c>
      <c r="BA23" s="25">
        <v>16560</v>
      </c>
      <c r="BB23" s="25">
        <v>244099</v>
      </c>
      <c r="BC23" s="25">
        <v>50159</v>
      </c>
      <c r="BD23" s="25">
        <v>7832</v>
      </c>
      <c r="BE23" s="25">
        <v>0</v>
      </c>
      <c r="BF23" s="25">
        <v>16560</v>
      </c>
      <c r="BG23" s="18">
        <v>5000</v>
      </c>
      <c r="BH23" s="18">
        <v>0</v>
      </c>
      <c r="BI23" s="25">
        <v>0</v>
      </c>
      <c r="BJ23" s="25">
        <v>19000</v>
      </c>
      <c r="BK23" s="25">
        <v>5391</v>
      </c>
    </row>
    <row r="24" spans="1:63">
      <c r="A24" s="18">
        <v>3302</v>
      </c>
      <c r="B24" s="18" t="s">
        <v>45</v>
      </c>
      <c r="C24" s="25">
        <v>46560.78</v>
      </c>
      <c r="D24" s="25">
        <v>0</v>
      </c>
      <c r="E24" s="25">
        <v>-14447</v>
      </c>
      <c r="F24" s="25">
        <f t="shared" si="0"/>
        <v>32113.78</v>
      </c>
      <c r="G24" s="25">
        <v>919340</v>
      </c>
      <c r="H24" s="25">
        <v>0</v>
      </c>
      <c r="I24" s="25">
        <v>19207</v>
      </c>
      <c r="J24" s="25">
        <v>0</v>
      </c>
      <c r="K24" s="25">
        <v>23400</v>
      </c>
      <c r="L24" s="25">
        <v>21064</v>
      </c>
      <c r="M24" s="25">
        <v>-1</v>
      </c>
      <c r="N24" s="25">
        <v>17242</v>
      </c>
      <c r="O24" s="25">
        <v>36922</v>
      </c>
      <c r="P24" s="25">
        <v>8550</v>
      </c>
      <c r="Q24" s="25">
        <v>0</v>
      </c>
      <c r="R24" s="25">
        <v>33011</v>
      </c>
      <c r="S24" s="25">
        <v>14005</v>
      </c>
      <c r="T24" s="25">
        <v>0</v>
      </c>
      <c r="U24" s="25">
        <v>0</v>
      </c>
      <c r="V24" s="25">
        <v>0</v>
      </c>
      <c r="W24" s="25">
        <v>27496</v>
      </c>
      <c r="X24" s="25">
        <v>480678</v>
      </c>
      <c r="Y24" s="25">
        <v>34828</v>
      </c>
      <c r="Z24" s="25">
        <v>165147</v>
      </c>
      <c r="AA24" s="25">
        <v>35031</v>
      </c>
      <c r="AB24" s="25">
        <v>34947</v>
      </c>
      <c r="AC24" s="25">
        <v>0</v>
      </c>
      <c r="AD24" s="25">
        <v>22425</v>
      </c>
      <c r="AE24" s="25">
        <v>5578</v>
      </c>
      <c r="AF24" s="25">
        <v>2859</v>
      </c>
      <c r="AG24" s="25">
        <v>8667</v>
      </c>
      <c r="AH24" s="25">
        <v>958</v>
      </c>
      <c r="AI24" s="25">
        <v>13282</v>
      </c>
      <c r="AJ24" s="25">
        <v>898</v>
      </c>
      <c r="AK24" s="25">
        <v>3651</v>
      </c>
      <c r="AL24" s="25">
        <v>2577</v>
      </c>
      <c r="AM24" s="25">
        <v>9735</v>
      </c>
      <c r="AN24" s="25">
        <v>0</v>
      </c>
      <c r="AO24" s="25">
        <v>3333</v>
      </c>
      <c r="AP24" s="25">
        <v>49204</v>
      </c>
      <c r="AQ24" s="25">
        <v>15598</v>
      </c>
      <c r="AR24" s="25">
        <v>0</v>
      </c>
      <c r="AS24" s="25">
        <v>4356</v>
      </c>
      <c r="AT24" s="25">
        <v>2620</v>
      </c>
      <c r="AU24" s="25">
        <v>476</v>
      </c>
      <c r="AV24" s="25">
        <v>62273</v>
      </c>
      <c r="AW24" s="25">
        <v>41612</v>
      </c>
      <c r="AX24" s="25">
        <v>31398</v>
      </c>
      <c r="AY24" s="25">
        <v>23412</v>
      </c>
      <c r="AZ24" s="25">
        <v>0</v>
      </c>
      <c r="BA24" s="25">
        <v>14447</v>
      </c>
      <c r="BB24" s="25">
        <v>0</v>
      </c>
      <c r="BC24" s="25">
        <v>0</v>
      </c>
      <c r="BD24" s="25">
        <v>0</v>
      </c>
      <c r="BE24" s="25">
        <v>0</v>
      </c>
      <c r="BF24" s="25">
        <v>14447</v>
      </c>
      <c r="BG24" s="18">
        <v>5000</v>
      </c>
      <c r="BH24" s="18">
        <v>0</v>
      </c>
      <c r="BI24" s="25">
        <v>0</v>
      </c>
      <c r="BJ24" s="25">
        <v>0</v>
      </c>
      <c r="BK24" s="25">
        <v>0</v>
      </c>
    </row>
    <row r="25" spans="1:63">
      <c r="A25" s="18">
        <v>2011</v>
      </c>
      <c r="B25" s="18" t="s">
        <v>46</v>
      </c>
      <c r="C25" s="25">
        <v>65623.070000000007</v>
      </c>
      <c r="D25" s="25">
        <v>0</v>
      </c>
      <c r="E25" s="25">
        <v>6817.7</v>
      </c>
      <c r="F25" s="25">
        <f t="shared" si="0"/>
        <v>72440.77</v>
      </c>
      <c r="G25" s="25">
        <v>989775</v>
      </c>
      <c r="H25" s="25">
        <v>0</v>
      </c>
      <c r="I25" s="25">
        <v>32292</v>
      </c>
      <c r="J25" s="25">
        <v>0</v>
      </c>
      <c r="K25" s="25">
        <v>45482</v>
      </c>
      <c r="L25" s="25">
        <v>0</v>
      </c>
      <c r="M25" s="25">
        <v>7765</v>
      </c>
      <c r="N25" s="25">
        <v>15777</v>
      </c>
      <c r="O25" s="25">
        <v>36965</v>
      </c>
      <c r="P25" s="25">
        <v>522</v>
      </c>
      <c r="Q25" s="25">
        <v>0</v>
      </c>
      <c r="R25" s="25">
        <v>35613</v>
      </c>
      <c r="S25" s="25">
        <v>1493</v>
      </c>
      <c r="T25" s="25">
        <v>0</v>
      </c>
      <c r="U25" s="25">
        <v>0</v>
      </c>
      <c r="V25" s="25">
        <v>0</v>
      </c>
      <c r="W25" s="25">
        <v>33236</v>
      </c>
      <c r="X25" s="25">
        <v>581419</v>
      </c>
      <c r="Y25" s="25">
        <v>840</v>
      </c>
      <c r="Z25" s="25">
        <v>217204</v>
      </c>
      <c r="AA25" s="25">
        <v>31708</v>
      </c>
      <c r="AB25" s="25">
        <v>59246</v>
      </c>
      <c r="AC25" s="25">
        <v>1</v>
      </c>
      <c r="AD25" s="25">
        <v>34066</v>
      </c>
      <c r="AE25" s="25">
        <v>5545</v>
      </c>
      <c r="AF25" s="25">
        <v>7871</v>
      </c>
      <c r="AG25" s="25">
        <v>9503</v>
      </c>
      <c r="AH25" s="25">
        <v>991</v>
      </c>
      <c r="AI25" s="25">
        <v>18626</v>
      </c>
      <c r="AJ25" s="25">
        <v>5295</v>
      </c>
      <c r="AK25" s="25">
        <v>13027</v>
      </c>
      <c r="AL25" s="25">
        <v>3503</v>
      </c>
      <c r="AM25" s="25">
        <v>19994</v>
      </c>
      <c r="AN25" s="25">
        <v>15183</v>
      </c>
      <c r="AO25" s="25">
        <v>5075</v>
      </c>
      <c r="AP25" s="25">
        <v>66421</v>
      </c>
      <c r="AQ25" s="25">
        <v>12791</v>
      </c>
      <c r="AR25" s="25">
        <v>0</v>
      </c>
      <c r="AS25" s="25">
        <v>5255</v>
      </c>
      <c r="AT25" s="25">
        <v>9242</v>
      </c>
      <c r="AU25" s="25">
        <v>2831</v>
      </c>
      <c r="AV25" s="25">
        <v>62651</v>
      </c>
      <c r="AW25" s="25">
        <v>16754</v>
      </c>
      <c r="AX25" s="25">
        <v>40872</v>
      </c>
      <c r="AY25" s="25">
        <v>14737</v>
      </c>
      <c r="AZ25" s="25">
        <v>0</v>
      </c>
      <c r="BA25" s="25">
        <v>0</v>
      </c>
      <c r="BB25" s="25">
        <v>0</v>
      </c>
      <c r="BC25" s="25">
        <v>0</v>
      </c>
      <c r="BD25" s="25">
        <v>6588</v>
      </c>
      <c r="BE25" s="25">
        <v>0</v>
      </c>
      <c r="BF25" s="25">
        <v>0</v>
      </c>
      <c r="BG25" s="18">
        <v>5000</v>
      </c>
      <c r="BH25" s="18">
        <v>0</v>
      </c>
      <c r="BI25" s="25">
        <v>9000</v>
      </c>
      <c r="BJ25" s="25">
        <v>0</v>
      </c>
      <c r="BK25" s="25">
        <v>0</v>
      </c>
    </row>
    <row r="26" spans="1:63">
      <c r="A26" s="18">
        <v>3522</v>
      </c>
      <c r="B26" s="18" t="s">
        <v>47</v>
      </c>
      <c r="C26" s="25">
        <v>254160.89</v>
      </c>
      <c r="D26" s="25">
        <v>0</v>
      </c>
      <c r="E26" s="25">
        <v>-0.18</v>
      </c>
      <c r="F26" s="25">
        <f t="shared" si="0"/>
        <v>254160.71000000002</v>
      </c>
      <c r="G26" s="25">
        <v>2065846</v>
      </c>
      <c r="H26" s="25">
        <v>0</v>
      </c>
      <c r="I26" s="25">
        <v>21528</v>
      </c>
      <c r="J26" s="25">
        <v>0</v>
      </c>
      <c r="K26" s="25">
        <v>307800</v>
      </c>
      <c r="L26" s="25">
        <v>4960</v>
      </c>
      <c r="M26" s="25">
        <v>1280</v>
      </c>
      <c r="N26" s="25">
        <v>6992</v>
      </c>
      <c r="O26" s="25">
        <v>17583</v>
      </c>
      <c r="P26" s="25">
        <v>0</v>
      </c>
      <c r="Q26" s="25">
        <v>10878</v>
      </c>
      <c r="R26" s="25">
        <v>4292</v>
      </c>
      <c r="S26" s="25">
        <v>3357</v>
      </c>
      <c r="T26" s="25">
        <v>0</v>
      </c>
      <c r="U26" s="25">
        <v>0</v>
      </c>
      <c r="V26" s="25">
        <v>0</v>
      </c>
      <c r="W26" s="25">
        <v>34821</v>
      </c>
      <c r="X26" s="25">
        <v>1033520</v>
      </c>
      <c r="Y26" s="25">
        <v>8636</v>
      </c>
      <c r="Z26" s="25">
        <v>496218</v>
      </c>
      <c r="AA26" s="25">
        <v>55484</v>
      </c>
      <c r="AB26" s="25">
        <v>66804</v>
      </c>
      <c r="AC26" s="25">
        <v>0</v>
      </c>
      <c r="AD26" s="25">
        <v>1551</v>
      </c>
      <c r="AE26" s="25">
        <v>22210</v>
      </c>
      <c r="AF26" s="25">
        <v>15169</v>
      </c>
      <c r="AG26" s="25">
        <v>12332</v>
      </c>
      <c r="AH26" s="25">
        <v>11460</v>
      </c>
      <c r="AI26" s="25">
        <v>49249</v>
      </c>
      <c r="AJ26" s="25">
        <v>4174</v>
      </c>
      <c r="AK26" s="25">
        <v>23406</v>
      </c>
      <c r="AL26" s="25">
        <v>6304</v>
      </c>
      <c r="AM26" s="25">
        <v>25227</v>
      </c>
      <c r="AN26" s="25">
        <v>18316</v>
      </c>
      <c r="AO26" s="25">
        <v>9378</v>
      </c>
      <c r="AP26" s="25">
        <v>64497</v>
      </c>
      <c r="AQ26" s="25">
        <v>32155</v>
      </c>
      <c r="AR26" s="25">
        <v>0</v>
      </c>
      <c r="AS26" s="25">
        <v>12330</v>
      </c>
      <c r="AT26" s="25">
        <v>9758</v>
      </c>
      <c r="AU26" s="25">
        <v>10634</v>
      </c>
      <c r="AV26" s="25">
        <v>96489</v>
      </c>
      <c r="AW26" s="25">
        <v>92300</v>
      </c>
      <c r="AX26" s="25">
        <v>248364</v>
      </c>
      <c r="AY26" s="25">
        <v>39335</v>
      </c>
      <c r="AZ26" s="25">
        <v>0</v>
      </c>
      <c r="BA26" s="25">
        <v>38258</v>
      </c>
      <c r="BB26" s="25">
        <v>0</v>
      </c>
      <c r="BC26" s="25">
        <v>0</v>
      </c>
      <c r="BD26" s="25">
        <v>8512</v>
      </c>
      <c r="BE26" s="25">
        <v>0</v>
      </c>
      <c r="BF26" s="25">
        <v>38258</v>
      </c>
      <c r="BG26" s="18">
        <v>5000</v>
      </c>
      <c r="BH26" s="18">
        <v>0</v>
      </c>
      <c r="BI26" s="25">
        <v>0</v>
      </c>
      <c r="BJ26" s="25">
        <v>35597</v>
      </c>
      <c r="BK26" s="25">
        <v>11173</v>
      </c>
    </row>
    <row r="27" spans="1:63">
      <c r="A27" s="18">
        <v>2014</v>
      </c>
      <c r="B27" s="18" t="s">
        <v>48</v>
      </c>
      <c r="C27" s="25">
        <v>447596.34</v>
      </c>
      <c r="D27" s="25">
        <v>0</v>
      </c>
      <c r="E27" s="25">
        <v>0.42</v>
      </c>
      <c r="F27" s="25">
        <f t="shared" si="0"/>
        <v>447596.76</v>
      </c>
      <c r="G27" s="25">
        <v>2846044</v>
      </c>
      <c r="H27" s="25">
        <v>0</v>
      </c>
      <c r="I27" s="25">
        <v>326723</v>
      </c>
      <c r="J27" s="25">
        <v>0</v>
      </c>
      <c r="K27" s="25">
        <v>219618</v>
      </c>
      <c r="L27" s="25">
        <v>9700</v>
      </c>
      <c r="M27" s="25">
        <v>1340</v>
      </c>
      <c r="N27" s="25">
        <v>27585</v>
      </c>
      <c r="O27" s="25">
        <v>65755</v>
      </c>
      <c r="P27" s="25">
        <v>24111</v>
      </c>
      <c r="Q27" s="25">
        <v>0</v>
      </c>
      <c r="R27" s="25">
        <v>31275</v>
      </c>
      <c r="S27" s="25">
        <v>8171</v>
      </c>
      <c r="T27" s="25">
        <v>0</v>
      </c>
      <c r="U27" s="25">
        <v>0</v>
      </c>
      <c r="V27" s="25">
        <v>0</v>
      </c>
      <c r="W27" s="25">
        <v>67085</v>
      </c>
      <c r="X27" s="25">
        <v>1398891</v>
      </c>
      <c r="Y27" s="25">
        <v>0</v>
      </c>
      <c r="Z27" s="25">
        <v>695333</v>
      </c>
      <c r="AA27" s="25">
        <v>85225</v>
      </c>
      <c r="AB27" s="25">
        <v>96819</v>
      </c>
      <c r="AC27" s="25">
        <v>0</v>
      </c>
      <c r="AD27" s="25">
        <v>36969</v>
      </c>
      <c r="AE27" s="25">
        <v>28651</v>
      </c>
      <c r="AF27" s="25">
        <v>6633</v>
      </c>
      <c r="AG27" s="25">
        <v>20426</v>
      </c>
      <c r="AH27" s="25">
        <v>8730</v>
      </c>
      <c r="AI27" s="25">
        <v>61092</v>
      </c>
      <c r="AJ27" s="25">
        <v>12570</v>
      </c>
      <c r="AK27" s="25">
        <v>5421</v>
      </c>
      <c r="AL27" s="25">
        <v>4456</v>
      </c>
      <c r="AM27" s="25">
        <v>67990</v>
      </c>
      <c r="AN27" s="25">
        <v>22775</v>
      </c>
      <c r="AO27" s="25">
        <v>26166</v>
      </c>
      <c r="AP27" s="25">
        <v>131803</v>
      </c>
      <c r="AQ27" s="25">
        <v>27705</v>
      </c>
      <c r="AR27" s="25">
        <v>0</v>
      </c>
      <c r="AS27" s="25">
        <v>31105</v>
      </c>
      <c r="AT27" s="25">
        <v>23218</v>
      </c>
      <c r="AU27" s="25">
        <v>3115</v>
      </c>
      <c r="AV27" s="25">
        <v>156425</v>
      </c>
      <c r="AW27" s="25">
        <v>156363</v>
      </c>
      <c r="AX27" s="25">
        <v>302362</v>
      </c>
      <c r="AY27" s="25">
        <v>41195</v>
      </c>
      <c r="AZ27" s="25">
        <v>0</v>
      </c>
      <c r="BA27" s="25">
        <v>99322</v>
      </c>
      <c r="BB27" s="25">
        <v>0</v>
      </c>
      <c r="BC27" s="25">
        <v>0</v>
      </c>
      <c r="BD27" s="25">
        <v>10824</v>
      </c>
      <c r="BE27" s="25">
        <v>0</v>
      </c>
      <c r="BF27" s="25">
        <v>99321</v>
      </c>
      <c r="BG27" s="18">
        <v>5000</v>
      </c>
      <c r="BH27" s="18">
        <v>0</v>
      </c>
      <c r="BI27" s="25">
        <v>38782</v>
      </c>
      <c r="BJ27" s="25">
        <v>0</v>
      </c>
      <c r="BK27" s="25">
        <v>71363</v>
      </c>
    </row>
    <row r="28" spans="1:63">
      <c r="A28" s="18">
        <v>2015</v>
      </c>
      <c r="B28" s="18" t="s">
        <v>49</v>
      </c>
      <c r="C28" s="25">
        <v>197477.05</v>
      </c>
      <c r="D28" s="25">
        <v>53813</v>
      </c>
      <c r="E28" s="25">
        <v>0.24</v>
      </c>
      <c r="F28" s="25">
        <f t="shared" si="0"/>
        <v>251290.28999999998</v>
      </c>
      <c r="G28" s="25">
        <v>1462594</v>
      </c>
      <c r="H28" s="25">
        <v>0</v>
      </c>
      <c r="I28" s="25">
        <v>187927</v>
      </c>
      <c r="J28" s="25">
        <v>0</v>
      </c>
      <c r="K28" s="25">
        <v>130300</v>
      </c>
      <c r="L28" s="25">
        <v>6100</v>
      </c>
      <c r="M28" s="25">
        <v>2145</v>
      </c>
      <c r="N28" s="25">
        <v>2745</v>
      </c>
      <c r="O28" s="25">
        <v>26864</v>
      </c>
      <c r="P28" s="25">
        <v>14740</v>
      </c>
      <c r="Q28" s="25">
        <v>6301</v>
      </c>
      <c r="R28" s="25">
        <v>23082</v>
      </c>
      <c r="S28" s="25">
        <v>2761</v>
      </c>
      <c r="T28" s="25">
        <v>0</v>
      </c>
      <c r="U28" s="25">
        <v>334158</v>
      </c>
      <c r="V28" s="25">
        <v>76631</v>
      </c>
      <c r="W28" s="25">
        <v>26920</v>
      </c>
      <c r="X28" s="25">
        <v>763563</v>
      </c>
      <c r="Y28" s="25">
        <v>0</v>
      </c>
      <c r="Z28" s="25">
        <v>578215</v>
      </c>
      <c r="AA28" s="25">
        <v>28178</v>
      </c>
      <c r="AB28" s="25">
        <v>92149</v>
      </c>
      <c r="AC28" s="25">
        <v>0</v>
      </c>
      <c r="AD28" s="25">
        <v>138852</v>
      </c>
      <c r="AE28" s="25">
        <v>9844</v>
      </c>
      <c r="AF28" s="25">
        <v>8282</v>
      </c>
      <c r="AG28" s="25">
        <v>16842</v>
      </c>
      <c r="AH28" s="25">
        <v>1163</v>
      </c>
      <c r="AI28" s="25">
        <v>18599</v>
      </c>
      <c r="AJ28" s="25">
        <v>12433</v>
      </c>
      <c r="AK28" s="25">
        <v>25740</v>
      </c>
      <c r="AL28" s="25">
        <v>4705</v>
      </c>
      <c r="AM28" s="25">
        <v>13658</v>
      </c>
      <c r="AN28" s="25">
        <v>17232</v>
      </c>
      <c r="AO28" s="25">
        <v>9923</v>
      </c>
      <c r="AP28" s="25">
        <v>72717</v>
      </c>
      <c r="AQ28" s="25">
        <v>22104</v>
      </c>
      <c r="AR28" s="25">
        <v>0</v>
      </c>
      <c r="AS28" s="25">
        <v>7889</v>
      </c>
      <c r="AT28" s="25">
        <v>5908</v>
      </c>
      <c r="AU28" s="25">
        <v>3796</v>
      </c>
      <c r="AV28" s="25">
        <v>56811</v>
      </c>
      <c r="AW28" s="25">
        <v>47464</v>
      </c>
      <c r="AX28" s="25">
        <v>40024</v>
      </c>
      <c r="AY28" s="25">
        <v>37500</v>
      </c>
      <c r="AZ28" s="25">
        <v>0</v>
      </c>
      <c r="BA28" s="25">
        <v>74465</v>
      </c>
      <c r="BB28" s="25">
        <v>47462</v>
      </c>
      <c r="BC28" s="25">
        <v>94351</v>
      </c>
      <c r="BD28" s="25">
        <v>7004</v>
      </c>
      <c r="BE28" s="25">
        <v>0</v>
      </c>
      <c r="BF28" s="25">
        <v>74465</v>
      </c>
      <c r="BG28" s="18">
        <v>5000</v>
      </c>
      <c r="BH28" s="18">
        <v>0</v>
      </c>
      <c r="BI28" s="25">
        <v>62649</v>
      </c>
      <c r="BJ28" s="25">
        <v>0</v>
      </c>
      <c r="BK28" s="25">
        <v>18821</v>
      </c>
    </row>
    <row r="29" spans="1:63">
      <c r="A29" s="18">
        <v>2016</v>
      </c>
      <c r="B29" s="18" t="s">
        <v>50</v>
      </c>
      <c r="C29" s="25">
        <v>71423.67</v>
      </c>
      <c r="D29" s="25">
        <v>0</v>
      </c>
      <c r="E29" s="25">
        <v>6284.51</v>
      </c>
      <c r="F29" s="25">
        <f t="shared" si="0"/>
        <v>77708.179999999993</v>
      </c>
      <c r="G29" s="25">
        <v>936486</v>
      </c>
      <c r="H29" s="25">
        <v>0</v>
      </c>
      <c r="I29" s="25">
        <v>41762</v>
      </c>
      <c r="J29" s="25">
        <v>0</v>
      </c>
      <c r="K29" s="25">
        <v>51597</v>
      </c>
      <c r="L29" s="25">
        <v>7098</v>
      </c>
      <c r="M29" s="25">
        <v>3878</v>
      </c>
      <c r="N29" s="25">
        <v>4150</v>
      </c>
      <c r="O29" s="25">
        <v>27156</v>
      </c>
      <c r="P29" s="25">
        <v>821</v>
      </c>
      <c r="Q29" s="25">
        <v>4412</v>
      </c>
      <c r="R29" s="25">
        <v>18269</v>
      </c>
      <c r="S29" s="25">
        <v>14401</v>
      </c>
      <c r="T29" s="25">
        <v>0</v>
      </c>
      <c r="U29" s="25">
        <v>0</v>
      </c>
      <c r="V29" s="25">
        <v>0</v>
      </c>
      <c r="W29" s="25">
        <v>27074</v>
      </c>
      <c r="X29" s="25">
        <v>539327</v>
      </c>
      <c r="Y29" s="25">
        <v>2010</v>
      </c>
      <c r="Z29" s="25">
        <v>208546</v>
      </c>
      <c r="AA29" s="25">
        <v>26445</v>
      </c>
      <c r="AB29" s="25">
        <v>17683</v>
      </c>
      <c r="AC29" s="25">
        <v>0</v>
      </c>
      <c r="AD29" s="25">
        <v>19538</v>
      </c>
      <c r="AE29" s="25">
        <v>5984</v>
      </c>
      <c r="AF29" s="25">
        <v>1863</v>
      </c>
      <c r="AG29" s="25">
        <v>9069</v>
      </c>
      <c r="AH29" s="25">
        <v>4145</v>
      </c>
      <c r="AI29" s="25">
        <v>23154</v>
      </c>
      <c r="AJ29" s="25">
        <v>4282</v>
      </c>
      <c r="AK29" s="25">
        <v>9213</v>
      </c>
      <c r="AL29" s="25">
        <v>3758</v>
      </c>
      <c r="AM29" s="25">
        <v>12327</v>
      </c>
      <c r="AN29" s="25">
        <v>15304</v>
      </c>
      <c r="AO29" s="25">
        <v>6053</v>
      </c>
      <c r="AP29" s="25">
        <v>42648</v>
      </c>
      <c r="AQ29" s="25">
        <v>16149</v>
      </c>
      <c r="AR29" s="25">
        <v>0</v>
      </c>
      <c r="AS29" s="25">
        <v>14182</v>
      </c>
      <c r="AT29" s="25">
        <v>948</v>
      </c>
      <c r="AU29" s="25">
        <v>3130</v>
      </c>
      <c r="AV29" s="25">
        <v>54656</v>
      </c>
      <c r="AW29" s="25">
        <v>21784</v>
      </c>
      <c r="AX29" s="25">
        <v>59528</v>
      </c>
      <c r="AY29" s="25">
        <v>26107</v>
      </c>
      <c r="AZ29" s="25">
        <v>0</v>
      </c>
      <c r="BA29" s="25">
        <v>0</v>
      </c>
      <c r="BB29" s="25">
        <v>0</v>
      </c>
      <c r="BC29" s="25">
        <v>0</v>
      </c>
      <c r="BD29" s="25">
        <v>6396</v>
      </c>
      <c r="BE29" s="25">
        <v>10000</v>
      </c>
      <c r="BF29" s="25">
        <v>0</v>
      </c>
      <c r="BG29" s="18">
        <v>5000</v>
      </c>
      <c r="BH29" s="18">
        <v>0</v>
      </c>
      <c r="BI29" s="25">
        <v>16700</v>
      </c>
      <c r="BJ29" s="25">
        <v>0</v>
      </c>
      <c r="BK29" s="25">
        <v>5050</v>
      </c>
    </row>
    <row r="30" spans="1:63">
      <c r="A30" s="18">
        <v>2017</v>
      </c>
      <c r="B30" s="18" t="s">
        <v>51</v>
      </c>
      <c r="C30" s="25">
        <v>259466.99</v>
      </c>
      <c r="D30" s="25">
        <v>0</v>
      </c>
      <c r="E30" s="25">
        <v>0.25</v>
      </c>
      <c r="F30" s="25">
        <f t="shared" si="0"/>
        <v>259467.24</v>
      </c>
      <c r="G30" s="25">
        <v>1730059</v>
      </c>
      <c r="H30" s="25">
        <v>0</v>
      </c>
      <c r="I30" s="25">
        <v>51519</v>
      </c>
      <c r="J30" s="25">
        <v>0</v>
      </c>
      <c r="K30" s="25">
        <v>164227</v>
      </c>
      <c r="L30" s="25">
        <v>500</v>
      </c>
      <c r="M30" s="25">
        <v>2090</v>
      </c>
      <c r="N30" s="25">
        <v>75021</v>
      </c>
      <c r="O30" s="25">
        <v>39761</v>
      </c>
      <c r="P30" s="25">
        <v>23146</v>
      </c>
      <c r="Q30" s="25">
        <v>3211</v>
      </c>
      <c r="R30" s="25">
        <v>40605</v>
      </c>
      <c r="S30" s="25">
        <v>19774</v>
      </c>
      <c r="T30" s="25">
        <v>0</v>
      </c>
      <c r="U30" s="25">
        <v>0</v>
      </c>
      <c r="V30" s="25">
        <v>0</v>
      </c>
      <c r="W30" s="25">
        <v>41831</v>
      </c>
      <c r="X30" s="25">
        <v>1058937</v>
      </c>
      <c r="Y30" s="25">
        <v>0</v>
      </c>
      <c r="Z30" s="25">
        <v>395612</v>
      </c>
      <c r="AA30" s="25">
        <v>34936</v>
      </c>
      <c r="AB30" s="25">
        <v>51019</v>
      </c>
      <c r="AC30" s="25">
        <v>0</v>
      </c>
      <c r="AD30" s="25">
        <v>84010</v>
      </c>
      <c r="AE30" s="25">
        <v>7807</v>
      </c>
      <c r="AF30" s="25">
        <v>8050</v>
      </c>
      <c r="AG30" s="25">
        <v>18004</v>
      </c>
      <c r="AH30" s="25">
        <v>1735</v>
      </c>
      <c r="AI30" s="25">
        <v>39533</v>
      </c>
      <c r="AJ30" s="25">
        <v>3756</v>
      </c>
      <c r="AK30" s="25">
        <v>25622</v>
      </c>
      <c r="AL30" s="25">
        <v>5669</v>
      </c>
      <c r="AM30" s="25">
        <v>39876</v>
      </c>
      <c r="AN30" s="25">
        <v>19883</v>
      </c>
      <c r="AO30" s="25">
        <v>8840</v>
      </c>
      <c r="AP30" s="25">
        <v>97593</v>
      </c>
      <c r="AQ30" s="25">
        <v>21323</v>
      </c>
      <c r="AR30" s="25">
        <v>0</v>
      </c>
      <c r="AS30" s="25">
        <v>17027</v>
      </c>
      <c r="AT30" s="25">
        <v>9966</v>
      </c>
      <c r="AU30" s="25">
        <v>14930</v>
      </c>
      <c r="AV30" s="25">
        <v>97001</v>
      </c>
      <c r="AW30" s="25">
        <v>24683</v>
      </c>
      <c r="AX30" s="25">
        <v>50518</v>
      </c>
      <c r="AY30" s="25">
        <v>56061</v>
      </c>
      <c r="AZ30" s="25">
        <v>0</v>
      </c>
      <c r="BA30" s="25">
        <v>0</v>
      </c>
      <c r="BB30" s="25">
        <v>0</v>
      </c>
      <c r="BC30" s="25">
        <v>0</v>
      </c>
      <c r="BD30" s="25">
        <v>8556</v>
      </c>
      <c r="BE30" s="25">
        <v>0</v>
      </c>
      <c r="BF30" s="25">
        <v>0</v>
      </c>
      <c r="BG30" s="18">
        <v>5000</v>
      </c>
      <c r="BH30" s="18">
        <v>0</v>
      </c>
      <c r="BI30" s="25">
        <v>0</v>
      </c>
      <c r="BJ30" s="25">
        <v>0</v>
      </c>
      <c r="BK30" s="25">
        <v>0</v>
      </c>
    </row>
    <row r="31" spans="1:63">
      <c r="A31" s="18">
        <v>2073</v>
      </c>
      <c r="B31" s="18" t="s">
        <v>52</v>
      </c>
      <c r="C31" s="25">
        <v>447128.42</v>
      </c>
      <c r="D31" s="25">
        <v>-4558</v>
      </c>
      <c r="E31" s="25">
        <v>0</v>
      </c>
      <c r="F31" s="25">
        <f t="shared" si="0"/>
        <v>442570.42</v>
      </c>
      <c r="G31" s="25">
        <v>2640229</v>
      </c>
      <c r="H31" s="25">
        <v>0</v>
      </c>
      <c r="I31" s="25">
        <v>277960</v>
      </c>
      <c r="J31" s="25">
        <v>0</v>
      </c>
      <c r="K31" s="25">
        <v>231471</v>
      </c>
      <c r="L31" s="25">
        <v>0</v>
      </c>
      <c r="M31" s="25">
        <v>3860</v>
      </c>
      <c r="N31" s="25">
        <v>121983</v>
      </c>
      <c r="O31" s="25">
        <v>91871</v>
      </c>
      <c r="P31" s="25">
        <v>13958</v>
      </c>
      <c r="Q31" s="25">
        <v>4075</v>
      </c>
      <c r="R31" s="25">
        <v>57291</v>
      </c>
      <c r="S31" s="25">
        <v>20000</v>
      </c>
      <c r="T31" s="25">
        <v>0</v>
      </c>
      <c r="U31" s="25">
        <v>0</v>
      </c>
      <c r="V31" s="25">
        <v>0</v>
      </c>
      <c r="W31" s="25">
        <v>64574</v>
      </c>
      <c r="X31" s="25">
        <v>1299674</v>
      </c>
      <c r="Y31" s="25">
        <v>0</v>
      </c>
      <c r="Z31" s="25">
        <v>763470</v>
      </c>
      <c r="AA31" s="25">
        <v>95820</v>
      </c>
      <c r="AB31" s="25">
        <v>103977</v>
      </c>
      <c r="AC31" s="25">
        <v>105059</v>
      </c>
      <c r="AD31" s="25">
        <v>193431</v>
      </c>
      <c r="AE31" s="25">
        <v>12572</v>
      </c>
      <c r="AF31" s="25">
        <v>19992</v>
      </c>
      <c r="AG31" s="25">
        <v>26848</v>
      </c>
      <c r="AH31" s="25">
        <v>8267</v>
      </c>
      <c r="AI31" s="25">
        <v>332134</v>
      </c>
      <c r="AJ31" s="25">
        <v>46213</v>
      </c>
      <c r="AK31" s="25">
        <v>6421</v>
      </c>
      <c r="AL31" s="25">
        <v>5680</v>
      </c>
      <c r="AM31" s="25">
        <v>47377</v>
      </c>
      <c r="AN31" s="25">
        <v>38655</v>
      </c>
      <c r="AO31" s="25">
        <v>17771</v>
      </c>
      <c r="AP31" s="25">
        <v>142577</v>
      </c>
      <c r="AQ31" s="25">
        <v>52560</v>
      </c>
      <c r="AR31" s="25">
        <v>0</v>
      </c>
      <c r="AS31" s="25">
        <v>39005</v>
      </c>
      <c r="AT31" s="25">
        <v>14847</v>
      </c>
      <c r="AU31" s="25">
        <v>18318</v>
      </c>
      <c r="AV31" s="25">
        <v>138912</v>
      </c>
      <c r="AW31" s="25">
        <v>77493</v>
      </c>
      <c r="AX31" s="25">
        <v>20327</v>
      </c>
      <c r="AY31" s="25">
        <v>18220</v>
      </c>
      <c r="AZ31" s="25">
        <v>0</v>
      </c>
      <c r="BA31" s="25">
        <v>0</v>
      </c>
      <c r="BB31" s="25">
        <v>1545</v>
      </c>
      <c r="BC31" s="25">
        <v>0</v>
      </c>
      <c r="BD31" s="25">
        <v>11380</v>
      </c>
      <c r="BE31" s="25">
        <v>0</v>
      </c>
      <c r="BF31" s="25">
        <v>0</v>
      </c>
      <c r="BG31" s="18">
        <v>5000</v>
      </c>
      <c r="BH31" s="18">
        <v>0</v>
      </c>
      <c r="BI31" s="25">
        <v>0</v>
      </c>
      <c r="BJ31" s="25">
        <v>10542</v>
      </c>
      <c r="BK31" s="25">
        <v>0</v>
      </c>
    </row>
    <row r="32" spans="1:63">
      <c r="A32" s="18">
        <v>2019</v>
      </c>
      <c r="B32" s="18" t="s">
        <v>53</v>
      </c>
      <c r="C32" s="25">
        <v>261630.74</v>
      </c>
      <c r="D32" s="25">
        <v>0</v>
      </c>
      <c r="E32" s="25">
        <v>0</v>
      </c>
      <c r="F32" s="25">
        <f t="shared" si="0"/>
        <v>261630.74</v>
      </c>
      <c r="G32" s="25">
        <v>1635894</v>
      </c>
      <c r="H32" s="25">
        <v>0</v>
      </c>
      <c r="I32" s="25">
        <v>35086</v>
      </c>
      <c r="J32" s="25">
        <v>0</v>
      </c>
      <c r="K32" s="25">
        <v>140238</v>
      </c>
      <c r="L32" s="25">
        <v>3200</v>
      </c>
      <c r="M32" s="25">
        <v>740</v>
      </c>
      <c r="N32" s="25">
        <v>3580</v>
      </c>
      <c r="O32" s="25">
        <v>15427</v>
      </c>
      <c r="P32" s="25">
        <v>26334</v>
      </c>
      <c r="Q32" s="25">
        <v>7708</v>
      </c>
      <c r="R32" s="25">
        <v>5873</v>
      </c>
      <c r="S32" s="25">
        <v>1005</v>
      </c>
      <c r="T32" s="25">
        <v>0</v>
      </c>
      <c r="U32" s="25">
        <v>0</v>
      </c>
      <c r="V32" s="25">
        <v>0</v>
      </c>
      <c r="W32" s="25">
        <v>60632</v>
      </c>
      <c r="X32" s="25">
        <v>714783</v>
      </c>
      <c r="Y32" s="25">
        <v>0</v>
      </c>
      <c r="Z32" s="25">
        <v>481322</v>
      </c>
      <c r="AA32" s="25">
        <v>35368</v>
      </c>
      <c r="AB32" s="25">
        <v>66113</v>
      </c>
      <c r="AC32" s="25">
        <v>0</v>
      </c>
      <c r="AD32" s="25">
        <v>49239</v>
      </c>
      <c r="AE32" s="25">
        <v>15345</v>
      </c>
      <c r="AF32" s="25">
        <v>5109</v>
      </c>
      <c r="AG32" s="25">
        <v>17923</v>
      </c>
      <c r="AH32" s="25">
        <v>1550</v>
      </c>
      <c r="AI32" s="25">
        <v>36991</v>
      </c>
      <c r="AJ32" s="25">
        <v>8645</v>
      </c>
      <c r="AK32" s="25">
        <v>3354</v>
      </c>
      <c r="AL32" s="25">
        <v>4409</v>
      </c>
      <c r="AM32" s="25">
        <v>22825</v>
      </c>
      <c r="AN32" s="25">
        <v>14460</v>
      </c>
      <c r="AO32" s="25">
        <v>8262</v>
      </c>
      <c r="AP32" s="25">
        <v>54223</v>
      </c>
      <c r="AQ32" s="25">
        <v>22726</v>
      </c>
      <c r="AR32" s="25">
        <v>0</v>
      </c>
      <c r="AS32" s="25">
        <v>19749</v>
      </c>
      <c r="AT32" s="25">
        <v>6192</v>
      </c>
      <c r="AU32" s="25">
        <v>3424</v>
      </c>
      <c r="AV32" s="25">
        <v>82027</v>
      </c>
      <c r="AW32" s="25">
        <v>118885</v>
      </c>
      <c r="AX32" s="25">
        <v>59113</v>
      </c>
      <c r="AY32" s="25">
        <v>54197</v>
      </c>
      <c r="AZ32" s="25">
        <v>0</v>
      </c>
      <c r="BA32" s="25">
        <v>148489</v>
      </c>
      <c r="BB32" s="25">
        <v>-1</v>
      </c>
      <c r="BC32" s="25">
        <v>0</v>
      </c>
      <c r="BD32" s="25">
        <v>7808</v>
      </c>
      <c r="BE32" s="25">
        <v>0</v>
      </c>
      <c r="BF32" s="25">
        <v>148489</v>
      </c>
      <c r="BG32" s="18">
        <v>5000</v>
      </c>
      <c r="BH32" s="18">
        <v>0</v>
      </c>
      <c r="BI32" s="25">
        <v>137469</v>
      </c>
      <c r="BJ32" s="25">
        <v>0</v>
      </c>
      <c r="BK32" s="25">
        <v>18828</v>
      </c>
    </row>
    <row r="33" spans="1:63">
      <c r="A33" s="18">
        <v>2021</v>
      </c>
      <c r="B33" s="18" t="s">
        <v>54</v>
      </c>
      <c r="C33" s="25">
        <v>81407.11</v>
      </c>
      <c r="D33" s="25">
        <v>0</v>
      </c>
      <c r="E33" s="25">
        <v>4027.76</v>
      </c>
      <c r="F33" s="25">
        <f t="shared" si="0"/>
        <v>85434.87</v>
      </c>
      <c r="G33" s="25">
        <v>1430531</v>
      </c>
      <c r="H33" s="25">
        <v>0</v>
      </c>
      <c r="I33" s="25">
        <v>84215</v>
      </c>
      <c r="J33" s="25">
        <v>0</v>
      </c>
      <c r="K33" s="25">
        <v>142138</v>
      </c>
      <c r="L33" s="25">
        <v>3400</v>
      </c>
      <c r="M33" s="25">
        <v>27631</v>
      </c>
      <c r="N33" s="25">
        <v>22319</v>
      </c>
      <c r="O33" s="25">
        <v>14754</v>
      </c>
      <c r="P33" s="25">
        <v>15390</v>
      </c>
      <c r="Q33" s="25">
        <v>9765</v>
      </c>
      <c r="R33" s="25">
        <v>7416</v>
      </c>
      <c r="S33" s="25">
        <v>517</v>
      </c>
      <c r="T33" s="25">
        <v>0</v>
      </c>
      <c r="U33" s="25">
        <v>0</v>
      </c>
      <c r="V33" s="25">
        <v>0</v>
      </c>
      <c r="W33" s="25">
        <v>55093</v>
      </c>
      <c r="X33" s="25">
        <v>713816</v>
      </c>
      <c r="Y33" s="25">
        <v>26248</v>
      </c>
      <c r="Z33" s="25">
        <v>532081</v>
      </c>
      <c r="AA33" s="25">
        <v>34846</v>
      </c>
      <c r="AB33" s="25">
        <v>71950</v>
      </c>
      <c r="AC33" s="25">
        <v>0</v>
      </c>
      <c r="AD33" s="25">
        <v>11546</v>
      </c>
      <c r="AE33" s="25">
        <v>1933</v>
      </c>
      <c r="AF33" s="25">
        <v>12839</v>
      </c>
      <c r="AG33" s="25">
        <v>18204</v>
      </c>
      <c r="AH33" s="25">
        <v>4148</v>
      </c>
      <c r="AI33" s="25">
        <v>32705</v>
      </c>
      <c r="AJ33" s="25">
        <v>7121</v>
      </c>
      <c r="AK33" s="25">
        <v>26559</v>
      </c>
      <c r="AL33" s="25">
        <v>3306</v>
      </c>
      <c r="AM33" s="25">
        <v>23983</v>
      </c>
      <c r="AN33" s="25">
        <v>19280</v>
      </c>
      <c r="AO33" s="25">
        <v>13012</v>
      </c>
      <c r="AP33" s="25">
        <v>54327</v>
      </c>
      <c r="AQ33" s="25">
        <v>13319</v>
      </c>
      <c r="AR33" s="25">
        <v>0</v>
      </c>
      <c r="AS33" s="25">
        <v>13403</v>
      </c>
      <c r="AT33" s="25">
        <v>3817</v>
      </c>
      <c r="AU33" s="25">
        <v>1507</v>
      </c>
      <c r="AV33" s="25">
        <v>86879</v>
      </c>
      <c r="AW33" s="25">
        <v>43071</v>
      </c>
      <c r="AX33" s="25">
        <v>43551</v>
      </c>
      <c r="AY33" s="25">
        <v>22585</v>
      </c>
      <c r="AZ33" s="25">
        <v>0</v>
      </c>
      <c r="BA33" s="25">
        <v>0</v>
      </c>
      <c r="BB33" s="25">
        <v>1</v>
      </c>
      <c r="BC33" s="25">
        <v>0</v>
      </c>
      <c r="BD33" s="25">
        <v>7644</v>
      </c>
      <c r="BE33" s="25">
        <v>0</v>
      </c>
      <c r="BF33" s="25">
        <v>0</v>
      </c>
      <c r="BG33" s="18">
        <v>5000</v>
      </c>
      <c r="BH33" s="18">
        <v>0</v>
      </c>
      <c r="BI33" s="25">
        <v>0</v>
      </c>
      <c r="BJ33" s="25">
        <v>0</v>
      </c>
      <c r="BK33" s="25">
        <v>0</v>
      </c>
    </row>
    <row r="34" spans="1:63">
      <c r="A34" s="18">
        <v>5200</v>
      </c>
      <c r="B34" s="18" t="s">
        <v>55</v>
      </c>
      <c r="C34" s="25">
        <v>111027.44</v>
      </c>
      <c r="D34" s="25">
        <v>0</v>
      </c>
      <c r="E34" s="25">
        <v>-0.71</v>
      </c>
      <c r="F34" s="25">
        <f t="shared" si="0"/>
        <v>111026.73</v>
      </c>
      <c r="G34" s="25">
        <v>1576016</v>
      </c>
      <c r="H34" s="25">
        <v>0</v>
      </c>
      <c r="I34" s="25">
        <v>101033</v>
      </c>
      <c r="J34" s="25">
        <v>0</v>
      </c>
      <c r="K34" s="25">
        <v>267003</v>
      </c>
      <c r="L34" s="25">
        <v>0</v>
      </c>
      <c r="M34" s="25">
        <v>894</v>
      </c>
      <c r="N34" s="25">
        <v>39436</v>
      </c>
      <c r="O34" s="25">
        <v>53256</v>
      </c>
      <c r="P34" s="25">
        <v>5500</v>
      </c>
      <c r="Q34" s="25">
        <v>14215</v>
      </c>
      <c r="R34" s="25">
        <v>26346</v>
      </c>
      <c r="S34" s="25">
        <v>31688</v>
      </c>
      <c r="T34" s="25">
        <v>0</v>
      </c>
      <c r="U34" s="25">
        <v>0</v>
      </c>
      <c r="V34" s="25">
        <v>0</v>
      </c>
      <c r="W34" s="25">
        <v>9404</v>
      </c>
      <c r="X34" s="25">
        <v>808374</v>
      </c>
      <c r="Y34" s="25">
        <v>0</v>
      </c>
      <c r="Z34" s="25">
        <v>424294</v>
      </c>
      <c r="AA34" s="25">
        <v>66178</v>
      </c>
      <c r="AB34" s="25">
        <v>94839</v>
      </c>
      <c r="AC34" s="25">
        <v>0</v>
      </c>
      <c r="AD34" s="25">
        <v>26580</v>
      </c>
      <c r="AE34" s="25">
        <v>9976</v>
      </c>
      <c r="AF34" s="25">
        <v>6490</v>
      </c>
      <c r="AG34" s="25">
        <v>16581</v>
      </c>
      <c r="AH34" s="25">
        <v>1800</v>
      </c>
      <c r="AI34" s="25">
        <v>60601</v>
      </c>
      <c r="AJ34" s="25">
        <v>3310</v>
      </c>
      <c r="AK34" s="25">
        <v>2577</v>
      </c>
      <c r="AL34" s="25">
        <v>11791</v>
      </c>
      <c r="AM34" s="25">
        <v>33524</v>
      </c>
      <c r="AN34" s="25">
        <v>0</v>
      </c>
      <c r="AO34" s="25">
        <v>14812</v>
      </c>
      <c r="AP34" s="25">
        <v>114323</v>
      </c>
      <c r="AQ34" s="25">
        <v>15723</v>
      </c>
      <c r="AR34" s="25">
        <v>0</v>
      </c>
      <c r="AS34" s="25">
        <v>8034</v>
      </c>
      <c r="AT34" s="25">
        <v>12615</v>
      </c>
      <c r="AU34" s="25">
        <v>0</v>
      </c>
      <c r="AV34" s="25">
        <v>62539</v>
      </c>
      <c r="AW34" s="25">
        <v>86417</v>
      </c>
      <c r="AX34" s="25">
        <v>245086</v>
      </c>
      <c r="AY34" s="25">
        <v>29104</v>
      </c>
      <c r="AZ34" s="25">
        <v>0</v>
      </c>
      <c r="BA34" s="25">
        <v>19546</v>
      </c>
      <c r="BB34" s="25">
        <v>0</v>
      </c>
      <c r="BC34" s="25">
        <v>0</v>
      </c>
      <c r="BD34" s="25">
        <v>7824</v>
      </c>
      <c r="BE34" s="25">
        <v>0</v>
      </c>
      <c r="BF34" s="25">
        <v>19546</v>
      </c>
      <c r="BG34" s="18">
        <v>5000</v>
      </c>
      <c r="BH34" s="18">
        <v>0</v>
      </c>
      <c r="BI34" s="25">
        <v>13040</v>
      </c>
      <c r="BJ34" s="25">
        <v>0</v>
      </c>
      <c r="BK34" s="25">
        <v>14331</v>
      </c>
    </row>
    <row r="35" spans="1:63">
      <c r="A35" s="18">
        <v>2023</v>
      </c>
      <c r="B35" s="18" t="s">
        <v>56</v>
      </c>
      <c r="C35" s="25">
        <v>77688.56</v>
      </c>
      <c r="D35" s="25">
        <v>1357</v>
      </c>
      <c r="E35" s="25">
        <v>0</v>
      </c>
      <c r="F35" s="25">
        <f t="shared" si="0"/>
        <v>79045.56</v>
      </c>
      <c r="G35" s="25">
        <v>2442673</v>
      </c>
      <c r="H35" s="25">
        <v>0</v>
      </c>
      <c r="I35" s="25">
        <v>114481</v>
      </c>
      <c r="J35" s="25">
        <v>0</v>
      </c>
      <c r="K35" s="25">
        <v>208370</v>
      </c>
      <c r="L35" s="25">
        <v>0</v>
      </c>
      <c r="M35" s="25">
        <v>15094</v>
      </c>
      <c r="N35" s="25">
        <v>30277</v>
      </c>
      <c r="O35" s="25">
        <v>34135</v>
      </c>
      <c r="P35" s="25">
        <v>22818</v>
      </c>
      <c r="Q35" s="25">
        <v>1483</v>
      </c>
      <c r="R35" s="25">
        <v>5834</v>
      </c>
      <c r="S35" s="25">
        <v>15413</v>
      </c>
      <c r="T35" s="25">
        <v>0</v>
      </c>
      <c r="U35" s="25">
        <v>0</v>
      </c>
      <c r="V35" s="25">
        <v>0</v>
      </c>
      <c r="W35" s="25">
        <v>54870</v>
      </c>
      <c r="X35" s="25">
        <v>1136999</v>
      </c>
      <c r="Y35" s="25">
        <v>0</v>
      </c>
      <c r="Z35" s="25">
        <v>610627</v>
      </c>
      <c r="AA35" s="25">
        <v>41770</v>
      </c>
      <c r="AB35" s="25">
        <v>122045</v>
      </c>
      <c r="AC35" s="25">
        <v>0</v>
      </c>
      <c r="AD35" s="25">
        <v>93280</v>
      </c>
      <c r="AE35" s="25">
        <v>16757</v>
      </c>
      <c r="AF35" s="25">
        <v>16789</v>
      </c>
      <c r="AG35" s="25">
        <v>18308</v>
      </c>
      <c r="AH35" s="25">
        <v>7189</v>
      </c>
      <c r="AI35" s="25">
        <v>20917</v>
      </c>
      <c r="AJ35" s="25">
        <v>6178</v>
      </c>
      <c r="AK35" s="25">
        <v>38933</v>
      </c>
      <c r="AL35" s="25">
        <v>8378</v>
      </c>
      <c r="AM35" s="25">
        <v>36894</v>
      </c>
      <c r="AN35" s="25">
        <v>9219</v>
      </c>
      <c r="AO35" s="25">
        <v>8730</v>
      </c>
      <c r="AP35" s="25">
        <v>103939</v>
      </c>
      <c r="AQ35" s="25">
        <v>13996</v>
      </c>
      <c r="AR35" s="25">
        <v>0</v>
      </c>
      <c r="AS35" s="25">
        <v>10305</v>
      </c>
      <c r="AT35" s="25">
        <v>15424</v>
      </c>
      <c r="AU35" s="25">
        <v>8149</v>
      </c>
      <c r="AV35" s="25">
        <v>102913</v>
      </c>
      <c r="AW35" s="25">
        <v>192186</v>
      </c>
      <c r="AX35" s="25">
        <v>118433</v>
      </c>
      <c r="AY35" s="25">
        <v>60221</v>
      </c>
      <c r="AZ35" s="25">
        <v>0</v>
      </c>
      <c r="BA35" s="25">
        <v>0</v>
      </c>
      <c r="BB35" s="25">
        <v>-2</v>
      </c>
      <c r="BC35" s="25">
        <v>0</v>
      </c>
      <c r="BD35" s="25">
        <v>12005</v>
      </c>
      <c r="BE35" s="25">
        <v>0</v>
      </c>
      <c r="BF35" s="25">
        <v>0</v>
      </c>
      <c r="BG35" s="18">
        <v>5000</v>
      </c>
      <c r="BH35" s="18">
        <v>0</v>
      </c>
      <c r="BI35" s="25">
        <v>6923</v>
      </c>
      <c r="BJ35" s="25">
        <v>0</v>
      </c>
      <c r="BK35" s="25">
        <v>3737</v>
      </c>
    </row>
    <row r="36" spans="1:63">
      <c r="A36" s="18">
        <v>2022</v>
      </c>
      <c r="B36" s="18" t="s">
        <v>57</v>
      </c>
      <c r="C36" s="25">
        <v>249902.55</v>
      </c>
      <c r="D36" s="25">
        <v>0</v>
      </c>
      <c r="E36" s="25">
        <v>0.4</v>
      </c>
      <c r="F36" s="25">
        <f t="shared" si="0"/>
        <v>249902.94999999998</v>
      </c>
      <c r="G36" s="25">
        <v>694366</v>
      </c>
      <c r="H36" s="25">
        <v>0</v>
      </c>
      <c r="I36" s="25">
        <v>50205</v>
      </c>
      <c r="J36" s="25">
        <v>0</v>
      </c>
      <c r="K36" s="25">
        <v>79542</v>
      </c>
      <c r="L36" s="25">
        <v>0</v>
      </c>
      <c r="M36" s="25">
        <v>0</v>
      </c>
      <c r="N36" s="25">
        <v>2191</v>
      </c>
      <c r="O36" s="25">
        <v>13791</v>
      </c>
      <c r="P36" s="25">
        <v>1348</v>
      </c>
      <c r="Q36" s="25">
        <v>0</v>
      </c>
      <c r="R36" s="25">
        <v>12195</v>
      </c>
      <c r="S36" s="25">
        <v>0</v>
      </c>
      <c r="T36" s="25">
        <v>0</v>
      </c>
      <c r="U36" s="25">
        <v>0</v>
      </c>
      <c r="V36" s="25">
        <v>0</v>
      </c>
      <c r="W36" s="25">
        <v>3755</v>
      </c>
      <c r="X36" s="25">
        <v>208490</v>
      </c>
      <c r="Y36" s="25">
        <v>3543</v>
      </c>
      <c r="Z36" s="25">
        <v>123371</v>
      </c>
      <c r="AA36" s="25">
        <v>11291</v>
      </c>
      <c r="AB36" s="25">
        <v>33568</v>
      </c>
      <c r="AC36" s="25">
        <v>63</v>
      </c>
      <c r="AD36" s="25">
        <v>19532</v>
      </c>
      <c r="AE36" s="25">
        <v>67650</v>
      </c>
      <c r="AF36" s="25">
        <v>3863</v>
      </c>
      <c r="AG36" s="25">
        <v>10467</v>
      </c>
      <c r="AH36" s="25">
        <v>671</v>
      </c>
      <c r="AI36" s="25">
        <v>24212</v>
      </c>
      <c r="AJ36" s="25">
        <v>2365</v>
      </c>
      <c r="AK36" s="25">
        <v>14485</v>
      </c>
      <c r="AL36" s="25">
        <v>2702</v>
      </c>
      <c r="AM36" s="25">
        <v>6560</v>
      </c>
      <c r="AN36" s="25">
        <v>10074</v>
      </c>
      <c r="AO36" s="25">
        <v>9925</v>
      </c>
      <c r="AP36" s="25">
        <v>70523</v>
      </c>
      <c r="AQ36" s="25">
        <v>11132</v>
      </c>
      <c r="AR36" s="25">
        <v>0</v>
      </c>
      <c r="AS36" s="25">
        <v>4729</v>
      </c>
      <c r="AT36" s="25">
        <v>3146</v>
      </c>
      <c r="AU36" s="25">
        <v>3771</v>
      </c>
      <c r="AV36" s="25">
        <v>23865</v>
      </c>
      <c r="AW36" s="25">
        <v>92324</v>
      </c>
      <c r="AX36" s="25">
        <v>44198</v>
      </c>
      <c r="AY36" s="25">
        <v>91719</v>
      </c>
      <c r="AZ36" s="25">
        <v>0</v>
      </c>
      <c r="BA36" s="25">
        <v>209248</v>
      </c>
      <c r="BB36" s="25">
        <v>0</v>
      </c>
      <c r="BC36" s="25">
        <v>0</v>
      </c>
      <c r="BD36" s="25">
        <v>3298</v>
      </c>
      <c r="BE36" s="25">
        <v>0</v>
      </c>
      <c r="BF36" s="25">
        <v>209248</v>
      </c>
      <c r="BG36" s="18">
        <v>5000</v>
      </c>
      <c r="BH36" s="18">
        <v>0</v>
      </c>
      <c r="BI36" s="25">
        <v>51649</v>
      </c>
      <c r="BJ36" s="25">
        <v>0</v>
      </c>
      <c r="BK36" s="25">
        <v>160896</v>
      </c>
    </row>
    <row r="37" spans="1:63">
      <c r="A37" s="18">
        <v>2024</v>
      </c>
      <c r="B37" s="18" t="s">
        <v>58</v>
      </c>
      <c r="C37" s="25">
        <v>217069.87</v>
      </c>
      <c r="D37" s="25">
        <v>2778</v>
      </c>
      <c r="E37" s="25">
        <v>30137.119999999999</v>
      </c>
      <c r="F37" s="25">
        <f t="shared" si="0"/>
        <v>249984.99</v>
      </c>
      <c r="G37" s="25">
        <v>1303926</v>
      </c>
      <c r="H37" s="25">
        <v>0</v>
      </c>
      <c r="I37" s="25">
        <v>68569</v>
      </c>
      <c r="J37" s="25">
        <v>0</v>
      </c>
      <c r="K37" s="25">
        <v>111132</v>
      </c>
      <c r="L37" s="25">
        <v>4471</v>
      </c>
      <c r="M37" s="25">
        <v>1961</v>
      </c>
      <c r="N37" s="25">
        <v>15616</v>
      </c>
      <c r="O37" s="25">
        <v>19890</v>
      </c>
      <c r="P37" s="25">
        <v>0</v>
      </c>
      <c r="Q37" s="25">
        <v>7890</v>
      </c>
      <c r="R37" s="25">
        <v>22044</v>
      </c>
      <c r="S37" s="25">
        <v>469</v>
      </c>
      <c r="T37" s="25">
        <v>0</v>
      </c>
      <c r="U37" s="25">
        <v>485338</v>
      </c>
      <c r="V37" s="25">
        <v>169801</v>
      </c>
      <c r="W37" s="25">
        <v>27786</v>
      </c>
      <c r="X37" s="25">
        <v>668434</v>
      </c>
      <c r="Y37" s="25">
        <v>605</v>
      </c>
      <c r="Z37" s="25">
        <v>336245</v>
      </c>
      <c r="AA37" s="25">
        <v>27814</v>
      </c>
      <c r="AB37" s="25">
        <v>108159</v>
      </c>
      <c r="AC37" s="25">
        <v>0</v>
      </c>
      <c r="AD37" s="25">
        <v>27765</v>
      </c>
      <c r="AE37" s="25">
        <v>7216</v>
      </c>
      <c r="AF37" s="25">
        <v>5457</v>
      </c>
      <c r="AG37" s="25">
        <v>11825</v>
      </c>
      <c r="AH37" s="25">
        <v>806</v>
      </c>
      <c r="AI37" s="25">
        <v>104749</v>
      </c>
      <c r="AJ37" s="25">
        <v>2374</v>
      </c>
      <c r="AK37" s="25">
        <v>17781</v>
      </c>
      <c r="AL37" s="25">
        <v>-914</v>
      </c>
      <c r="AM37" s="25">
        <v>18992</v>
      </c>
      <c r="AN37" s="25">
        <v>46686</v>
      </c>
      <c r="AO37" s="25">
        <v>3365</v>
      </c>
      <c r="AP37" s="25">
        <v>61487</v>
      </c>
      <c r="AQ37" s="25">
        <v>44549</v>
      </c>
      <c r="AR37" s="25">
        <v>0</v>
      </c>
      <c r="AS37" s="25">
        <v>27558</v>
      </c>
      <c r="AT37" s="25">
        <v>9693</v>
      </c>
      <c r="AU37" s="25">
        <v>17306</v>
      </c>
      <c r="AV37" s="25">
        <v>44904</v>
      </c>
      <c r="AW37" s="25">
        <v>21753</v>
      </c>
      <c r="AX37" s="25">
        <v>73922</v>
      </c>
      <c r="AY37" s="25">
        <v>17452</v>
      </c>
      <c r="AZ37" s="25">
        <v>0</v>
      </c>
      <c r="BA37" s="25">
        <v>0</v>
      </c>
      <c r="BB37" s="25">
        <v>527377</v>
      </c>
      <c r="BC37" s="25">
        <v>93607</v>
      </c>
      <c r="BD37" s="25">
        <v>6920</v>
      </c>
      <c r="BE37" s="25">
        <v>0</v>
      </c>
      <c r="BF37" s="25">
        <v>0</v>
      </c>
      <c r="BG37" s="18">
        <v>5000</v>
      </c>
      <c r="BH37" s="18">
        <v>0</v>
      </c>
      <c r="BI37" s="25">
        <v>0</v>
      </c>
      <c r="BJ37" s="25">
        <v>0</v>
      </c>
      <c r="BK37" s="25">
        <v>0</v>
      </c>
    </row>
    <row r="38" spans="1:63">
      <c r="A38" s="18">
        <v>2025</v>
      </c>
      <c r="B38" s="18" t="s">
        <v>59</v>
      </c>
      <c r="C38" s="25">
        <v>69915.59</v>
      </c>
      <c r="D38" s="25">
        <v>0</v>
      </c>
      <c r="E38" s="25">
        <v>22130.5</v>
      </c>
      <c r="F38" s="25">
        <f t="shared" si="0"/>
        <v>92046.09</v>
      </c>
      <c r="G38" s="25">
        <v>1236924</v>
      </c>
      <c r="H38" s="25">
        <v>0</v>
      </c>
      <c r="I38" s="25">
        <v>48705</v>
      </c>
      <c r="J38" s="25">
        <v>0</v>
      </c>
      <c r="K38" s="25">
        <v>32800</v>
      </c>
      <c r="L38" s="25">
        <v>18584</v>
      </c>
      <c r="M38" s="25">
        <v>5160</v>
      </c>
      <c r="N38" s="25">
        <v>43663</v>
      </c>
      <c r="O38" s="25">
        <v>48065</v>
      </c>
      <c r="P38" s="25">
        <v>13229</v>
      </c>
      <c r="Q38" s="25">
        <v>3080</v>
      </c>
      <c r="R38" s="25">
        <v>44732</v>
      </c>
      <c r="S38" s="25">
        <v>14126</v>
      </c>
      <c r="T38" s="25">
        <v>0</v>
      </c>
      <c r="U38" s="25">
        <v>0</v>
      </c>
      <c r="V38" s="25">
        <v>0</v>
      </c>
      <c r="W38" s="25">
        <v>38348</v>
      </c>
      <c r="X38" s="25">
        <v>717151</v>
      </c>
      <c r="Y38" s="25">
        <v>13773</v>
      </c>
      <c r="Z38" s="25">
        <v>251375</v>
      </c>
      <c r="AA38" s="25">
        <v>57327</v>
      </c>
      <c r="AB38" s="25">
        <v>46737</v>
      </c>
      <c r="AC38" s="25">
        <v>0</v>
      </c>
      <c r="AD38" s="25">
        <v>29018</v>
      </c>
      <c r="AE38" s="25">
        <v>29469</v>
      </c>
      <c r="AF38" s="25">
        <v>6622</v>
      </c>
      <c r="AG38" s="25">
        <v>5501</v>
      </c>
      <c r="AH38" s="25">
        <v>6370</v>
      </c>
      <c r="AI38" s="25">
        <v>17276</v>
      </c>
      <c r="AJ38" s="25">
        <v>5</v>
      </c>
      <c r="AK38" s="25">
        <v>4722</v>
      </c>
      <c r="AL38" s="25">
        <v>5000</v>
      </c>
      <c r="AM38" s="25">
        <v>26151</v>
      </c>
      <c r="AN38" s="25">
        <v>20967</v>
      </c>
      <c r="AO38" s="25">
        <v>4477</v>
      </c>
      <c r="AP38" s="25">
        <v>83303</v>
      </c>
      <c r="AQ38" s="25">
        <v>16780</v>
      </c>
      <c r="AR38" s="25">
        <v>0</v>
      </c>
      <c r="AS38" s="25">
        <v>7791</v>
      </c>
      <c r="AT38" s="25">
        <v>7323</v>
      </c>
      <c r="AU38" s="25">
        <v>7126</v>
      </c>
      <c r="AV38" s="25">
        <v>71338</v>
      </c>
      <c r="AW38" s="25">
        <v>65827</v>
      </c>
      <c r="AX38" s="25">
        <v>34156</v>
      </c>
      <c r="AY38" s="25">
        <v>32612</v>
      </c>
      <c r="AZ38" s="25">
        <v>0</v>
      </c>
      <c r="BA38" s="25">
        <v>0</v>
      </c>
      <c r="BB38" s="25">
        <v>0</v>
      </c>
      <c r="BC38" s="25">
        <v>0</v>
      </c>
      <c r="BD38" s="25">
        <v>7532</v>
      </c>
      <c r="BE38" s="25">
        <v>0</v>
      </c>
      <c r="BF38" s="25">
        <v>0</v>
      </c>
      <c r="BG38" s="18">
        <v>5000</v>
      </c>
      <c r="BH38" s="18">
        <v>0</v>
      </c>
      <c r="BI38" s="25">
        <v>0</v>
      </c>
      <c r="BJ38" s="25">
        <v>0</v>
      </c>
      <c r="BK38" s="25">
        <v>13173</v>
      </c>
    </row>
    <row r="39" spans="1:63">
      <c r="A39" s="18">
        <v>2026</v>
      </c>
      <c r="B39" s="18" t="s">
        <v>60</v>
      </c>
      <c r="C39" s="25">
        <v>91130.46</v>
      </c>
      <c r="D39" s="25">
        <v>0</v>
      </c>
      <c r="E39" s="25">
        <v>2324.87</v>
      </c>
      <c r="F39" s="25">
        <f t="shared" si="0"/>
        <v>93455.33</v>
      </c>
      <c r="G39" s="25">
        <v>2625070</v>
      </c>
      <c r="H39" s="25">
        <v>0</v>
      </c>
      <c r="I39" s="25">
        <v>120823</v>
      </c>
      <c r="J39" s="25">
        <v>0</v>
      </c>
      <c r="K39" s="25">
        <v>174637</v>
      </c>
      <c r="L39" s="25">
        <v>1240</v>
      </c>
      <c r="M39" s="25">
        <v>0</v>
      </c>
      <c r="N39" s="25">
        <v>87486</v>
      </c>
      <c r="O39" s="25">
        <v>48145</v>
      </c>
      <c r="P39" s="25">
        <v>0</v>
      </c>
      <c r="Q39" s="25">
        <v>0</v>
      </c>
      <c r="R39" s="25">
        <v>82060</v>
      </c>
      <c r="S39" s="25">
        <v>35706</v>
      </c>
      <c r="T39" s="25">
        <v>0</v>
      </c>
      <c r="U39" s="25">
        <v>0</v>
      </c>
      <c r="V39" s="25">
        <v>0</v>
      </c>
      <c r="W39" s="25">
        <v>62642</v>
      </c>
      <c r="X39" s="25">
        <v>1566669</v>
      </c>
      <c r="Y39" s="25">
        <v>14060</v>
      </c>
      <c r="Z39" s="25">
        <v>600209</v>
      </c>
      <c r="AA39" s="25">
        <v>53442</v>
      </c>
      <c r="AB39" s="25">
        <v>131511</v>
      </c>
      <c r="AC39" s="25">
        <v>0</v>
      </c>
      <c r="AD39" s="25">
        <v>86121</v>
      </c>
      <c r="AE39" s="25">
        <v>18553</v>
      </c>
      <c r="AF39" s="25">
        <v>10293</v>
      </c>
      <c r="AG39" s="25">
        <v>2036</v>
      </c>
      <c r="AH39" s="25">
        <v>0</v>
      </c>
      <c r="AI39" s="25">
        <v>27589</v>
      </c>
      <c r="AJ39" s="25">
        <v>2721</v>
      </c>
      <c r="AK39" s="25">
        <v>37011</v>
      </c>
      <c r="AL39" s="25">
        <v>4108</v>
      </c>
      <c r="AM39" s="25">
        <v>36743</v>
      </c>
      <c r="AN39" s="25">
        <v>38905</v>
      </c>
      <c r="AO39" s="25">
        <v>19923</v>
      </c>
      <c r="AP39" s="25">
        <v>117880</v>
      </c>
      <c r="AQ39" s="25">
        <v>30919</v>
      </c>
      <c r="AR39" s="25">
        <v>0</v>
      </c>
      <c r="AS39" s="25">
        <v>27172</v>
      </c>
      <c r="AT39" s="25">
        <v>16053</v>
      </c>
      <c r="AU39" s="25">
        <v>6790</v>
      </c>
      <c r="AV39" s="25">
        <v>146993</v>
      </c>
      <c r="AW39" s="25">
        <v>129823</v>
      </c>
      <c r="AX39" s="25">
        <v>140594</v>
      </c>
      <c r="AY39" s="25">
        <v>42109</v>
      </c>
      <c r="AZ39" s="25">
        <v>0</v>
      </c>
      <c r="BA39" s="25">
        <v>4429</v>
      </c>
      <c r="BB39" s="25">
        <v>2</v>
      </c>
      <c r="BC39" s="25">
        <v>0</v>
      </c>
      <c r="BD39" s="25">
        <v>11482</v>
      </c>
      <c r="BE39" s="25">
        <v>0</v>
      </c>
      <c r="BF39" s="25">
        <v>4429</v>
      </c>
      <c r="BG39" s="18">
        <v>5000</v>
      </c>
      <c r="BH39" s="18">
        <v>0</v>
      </c>
      <c r="BI39" s="25">
        <v>18236</v>
      </c>
      <c r="BJ39" s="25">
        <v>0</v>
      </c>
      <c r="BK39" s="25">
        <v>0</v>
      </c>
    </row>
    <row r="40" spans="1:63">
      <c r="A40" s="18">
        <v>2028</v>
      </c>
      <c r="B40" s="18" t="s">
        <v>61</v>
      </c>
      <c r="C40" s="25">
        <v>89086.74</v>
      </c>
      <c r="D40" s="25">
        <v>0</v>
      </c>
      <c r="E40" s="25">
        <v>0</v>
      </c>
      <c r="F40" s="25">
        <f t="shared" si="0"/>
        <v>89086.74</v>
      </c>
      <c r="G40" s="25">
        <v>1126980</v>
      </c>
      <c r="H40" s="25">
        <v>0</v>
      </c>
      <c r="I40" s="25">
        <v>71870</v>
      </c>
      <c r="J40" s="25">
        <v>0</v>
      </c>
      <c r="K40" s="25">
        <v>50851</v>
      </c>
      <c r="L40" s="25">
        <v>3540</v>
      </c>
      <c r="M40" s="25">
        <v>0</v>
      </c>
      <c r="N40" s="25">
        <v>6489</v>
      </c>
      <c r="O40" s="25">
        <v>22035</v>
      </c>
      <c r="P40" s="25">
        <v>2052</v>
      </c>
      <c r="Q40" s="25">
        <v>325</v>
      </c>
      <c r="R40" s="25">
        <v>1280</v>
      </c>
      <c r="S40" s="25">
        <v>3116</v>
      </c>
      <c r="T40" s="25">
        <v>0</v>
      </c>
      <c r="U40" s="25">
        <v>0</v>
      </c>
      <c r="V40" s="25">
        <v>0</v>
      </c>
      <c r="W40" s="25">
        <v>57807</v>
      </c>
      <c r="X40" s="25">
        <v>658871</v>
      </c>
      <c r="Y40" s="25">
        <v>0</v>
      </c>
      <c r="Z40" s="25">
        <v>295665</v>
      </c>
      <c r="AA40" s="25">
        <v>25332</v>
      </c>
      <c r="AB40" s="25">
        <v>36080</v>
      </c>
      <c r="AC40" s="25">
        <v>0</v>
      </c>
      <c r="AD40" s="25">
        <v>29013</v>
      </c>
      <c r="AE40" s="25">
        <v>5552</v>
      </c>
      <c r="AF40" s="25">
        <v>2835</v>
      </c>
      <c r="AG40" s="25">
        <v>13882</v>
      </c>
      <c r="AH40" s="25">
        <v>1134</v>
      </c>
      <c r="AI40" s="25">
        <v>6856</v>
      </c>
      <c r="AJ40" s="25">
        <v>2005</v>
      </c>
      <c r="AK40" s="25">
        <v>16692</v>
      </c>
      <c r="AL40" s="25">
        <v>-72</v>
      </c>
      <c r="AM40" s="25">
        <v>13128</v>
      </c>
      <c r="AN40" s="25">
        <v>17194</v>
      </c>
      <c r="AO40" s="25">
        <v>6598</v>
      </c>
      <c r="AP40" s="25">
        <v>20738</v>
      </c>
      <c r="AQ40" s="25">
        <v>10891</v>
      </c>
      <c r="AR40" s="25">
        <v>0</v>
      </c>
      <c r="AS40" s="25">
        <v>12263</v>
      </c>
      <c r="AT40" s="25">
        <v>5570</v>
      </c>
      <c r="AU40" s="25">
        <v>3201</v>
      </c>
      <c r="AV40" s="25">
        <v>79943</v>
      </c>
      <c r="AW40" s="25">
        <v>15660</v>
      </c>
      <c r="AX40" s="25">
        <v>24561</v>
      </c>
      <c r="AY40" s="25">
        <v>24518</v>
      </c>
      <c r="AZ40" s="25">
        <v>0</v>
      </c>
      <c r="BA40" s="25">
        <v>0</v>
      </c>
      <c r="BB40" s="25">
        <v>-1</v>
      </c>
      <c r="BC40" s="25">
        <v>0</v>
      </c>
      <c r="BD40" s="25">
        <v>7016</v>
      </c>
      <c r="BE40" s="25">
        <v>15233</v>
      </c>
      <c r="BF40" s="25">
        <v>0</v>
      </c>
      <c r="BG40" s="18">
        <v>5000</v>
      </c>
      <c r="BH40" s="18">
        <v>0</v>
      </c>
      <c r="BI40" s="25">
        <v>0</v>
      </c>
      <c r="BJ40" s="25">
        <v>0</v>
      </c>
      <c r="BK40" s="25">
        <v>19027</v>
      </c>
    </row>
    <row r="41" spans="1:63">
      <c r="A41" s="18">
        <v>2027</v>
      </c>
      <c r="B41" s="18" t="s">
        <v>62</v>
      </c>
      <c r="C41" s="25">
        <v>120135.57</v>
      </c>
      <c r="D41" s="25">
        <v>0</v>
      </c>
      <c r="E41" s="25">
        <v>0.5</v>
      </c>
      <c r="F41" s="25">
        <f t="shared" si="0"/>
        <v>120136.07</v>
      </c>
      <c r="G41" s="25">
        <v>1450901</v>
      </c>
      <c r="H41" s="25">
        <v>0</v>
      </c>
      <c r="I41" s="25">
        <v>74718</v>
      </c>
      <c r="J41" s="25">
        <v>0</v>
      </c>
      <c r="K41" s="25">
        <v>103194</v>
      </c>
      <c r="L41" s="25">
        <v>6150</v>
      </c>
      <c r="M41" s="25">
        <v>0</v>
      </c>
      <c r="N41" s="25">
        <v>11463</v>
      </c>
      <c r="O41" s="25">
        <v>70949</v>
      </c>
      <c r="P41" s="25">
        <v>7695</v>
      </c>
      <c r="Q41" s="25">
        <v>3082</v>
      </c>
      <c r="R41" s="25">
        <v>27561</v>
      </c>
      <c r="S41" s="25">
        <v>8730</v>
      </c>
      <c r="T41" s="25">
        <v>0</v>
      </c>
      <c r="U41" s="25">
        <v>0</v>
      </c>
      <c r="V41" s="25">
        <v>0</v>
      </c>
      <c r="W41" s="25">
        <v>9466</v>
      </c>
      <c r="X41" s="25">
        <v>918903</v>
      </c>
      <c r="Y41" s="25">
        <v>1455</v>
      </c>
      <c r="Z41" s="25">
        <v>252915</v>
      </c>
      <c r="AA41" s="25">
        <v>25333</v>
      </c>
      <c r="AB41" s="25">
        <v>43583</v>
      </c>
      <c r="AC41" s="25">
        <v>0</v>
      </c>
      <c r="AD41" s="25">
        <v>24382</v>
      </c>
      <c r="AE41" s="25">
        <v>11430</v>
      </c>
      <c r="AF41" s="25">
        <v>1990</v>
      </c>
      <c r="AG41" s="25">
        <v>15492</v>
      </c>
      <c r="AH41" s="25">
        <v>1491</v>
      </c>
      <c r="AI41" s="25">
        <v>20881</v>
      </c>
      <c r="AJ41" s="25">
        <v>1442</v>
      </c>
      <c r="AK41" s="25">
        <v>23536</v>
      </c>
      <c r="AL41" s="25">
        <v>-245</v>
      </c>
      <c r="AM41" s="25">
        <v>23602</v>
      </c>
      <c r="AN41" s="25">
        <v>17193</v>
      </c>
      <c r="AO41" s="25">
        <v>6152</v>
      </c>
      <c r="AP41" s="25">
        <v>76841</v>
      </c>
      <c r="AQ41" s="25">
        <v>17215</v>
      </c>
      <c r="AR41" s="25">
        <v>0</v>
      </c>
      <c r="AS41" s="25">
        <v>12964</v>
      </c>
      <c r="AT41" s="25">
        <v>7979</v>
      </c>
      <c r="AU41" s="25">
        <v>11274</v>
      </c>
      <c r="AV41" s="25">
        <v>84585</v>
      </c>
      <c r="AW41" s="25">
        <v>37731</v>
      </c>
      <c r="AX41" s="25">
        <v>126140</v>
      </c>
      <c r="AY41" s="25">
        <v>29310</v>
      </c>
      <c r="AZ41" s="25">
        <v>0</v>
      </c>
      <c r="BA41" s="25">
        <v>680</v>
      </c>
      <c r="BB41" s="25">
        <v>1</v>
      </c>
      <c r="BC41" s="25">
        <v>0</v>
      </c>
      <c r="BD41" s="25">
        <v>7960</v>
      </c>
      <c r="BE41" s="25">
        <v>1000</v>
      </c>
      <c r="BF41" s="25">
        <v>680</v>
      </c>
      <c r="BG41" s="18">
        <v>5000</v>
      </c>
      <c r="BH41" s="18">
        <v>0</v>
      </c>
      <c r="BI41" s="25">
        <v>0</v>
      </c>
      <c r="BJ41" s="25">
        <v>0</v>
      </c>
      <c r="BK41" s="25">
        <v>9641</v>
      </c>
    </row>
    <row r="42" spans="1:63">
      <c r="A42" s="18">
        <v>2029</v>
      </c>
      <c r="B42" s="18" t="s">
        <v>63</v>
      </c>
      <c r="C42" s="25">
        <v>163754.21</v>
      </c>
      <c r="D42" s="25">
        <v>0</v>
      </c>
      <c r="E42" s="25">
        <v>-0.5</v>
      </c>
      <c r="F42" s="25">
        <f t="shared" si="0"/>
        <v>163753.71</v>
      </c>
      <c r="G42" s="25">
        <v>2275419</v>
      </c>
      <c r="H42" s="25">
        <v>0</v>
      </c>
      <c r="I42" s="25">
        <v>57243</v>
      </c>
      <c r="J42" s="25">
        <v>0</v>
      </c>
      <c r="K42" s="25">
        <v>300832</v>
      </c>
      <c r="L42" s="25">
        <v>8800</v>
      </c>
      <c r="M42" s="25">
        <v>1152</v>
      </c>
      <c r="N42" s="25">
        <v>16571</v>
      </c>
      <c r="O42" s="25">
        <v>24963</v>
      </c>
      <c r="P42" s="25">
        <v>248</v>
      </c>
      <c r="Q42" s="25">
        <v>0</v>
      </c>
      <c r="R42" s="25">
        <v>26059</v>
      </c>
      <c r="S42" s="25">
        <v>1492</v>
      </c>
      <c r="T42" s="25">
        <v>0</v>
      </c>
      <c r="U42" s="25">
        <v>0</v>
      </c>
      <c r="V42" s="25">
        <v>0</v>
      </c>
      <c r="W42" s="25">
        <v>37644</v>
      </c>
      <c r="X42" s="25">
        <v>1011511</v>
      </c>
      <c r="Y42" s="25">
        <v>0</v>
      </c>
      <c r="Z42" s="25">
        <v>480479</v>
      </c>
      <c r="AA42" s="25">
        <v>65878</v>
      </c>
      <c r="AB42" s="25">
        <v>74762</v>
      </c>
      <c r="AC42" s="25">
        <v>-2</v>
      </c>
      <c r="AD42" s="25">
        <v>89155</v>
      </c>
      <c r="AE42" s="25">
        <v>7785</v>
      </c>
      <c r="AF42" s="25">
        <v>6144</v>
      </c>
      <c r="AG42" s="25">
        <v>17621</v>
      </c>
      <c r="AH42" s="25">
        <v>-7608</v>
      </c>
      <c r="AI42" s="25">
        <v>38013</v>
      </c>
      <c r="AJ42" s="25">
        <v>916</v>
      </c>
      <c r="AK42" s="25">
        <v>25488</v>
      </c>
      <c r="AL42" s="25">
        <v>2317</v>
      </c>
      <c r="AM42" s="25">
        <v>37727</v>
      </c>
      <c r="AN42" s="25">
        <v>22052</v>
      </c>
      <c r="AO42" s="25">
        <v>14458</v>
      </c>
      <c r="AP42" s="25">
        <v>130387</v>
      </c>
      <c r="AQ42" s="25">
        <v>22707</v>
      </c>
      <c r="AR42" s="25">
        <v>0</v>
      </c>
      <c r="AS42" s="25">
        <v>15659</v>
      </c>
      <c r="AT42" s="25">
        <v>9307</v>
      </c>
      <c r="AU42" s="25">
        <v>25723</v>
      </c>
      <c r="AV42" s="25">
        <v>95105</v>
      </c>
      <c r="AW42" s="25">
        <v>158196</v>
      </c>
      <c r="AX42" s="25">
        <v>156981</v>
      </c>
      <c r="AY42" s="25">
        <v>51208</v>
      </c>
      <c r="AZ42" s="25">
        <v>0</v>
      </c>
      <c r="BA42" s="25">
        <v>120706</v>
      </c>
      <c r="BB42" s="25">
        <v>-1</v>
      </c>
      <c r="BC42" s="25">
        <v>0</v>
      </c>
      <c r="BD42" s="25">
        <v>8984</v>
      </c>
      <c r="BE42" s="25">
        <v>0</v>
      </c>
      <c r="BF42" s="25">
        <v>120706</v>
      </c>
      <c r="BG42" s="18">
        <v>5000</v>
      </c>
      <c r="BH42" s="18">
        <v>0</v>
      </c>
      <c r="BI42" s="25">
        <v>103537</v>
      </c>
      <c r="BJ42" s="25">
        <v>7274</v>
      </c>
      <c r="BK42" s="25">
        <v>18878</v>
      </c>
    </row>
    <row r="43" spans="1:63">
      <c r="A43" s="18">
        <v>3516</v>
      </c>
      <c r="B43" s="18" t="s">
        <v>64</v>
      </c>
      <c r="C43" s="25">
        <v>-657.02</v>
      </c>
      <c r="D43" s="25">
        <v>0</v>
      </c>
      <c r="E43" s="25">
        <v>0</v>
      </c>
      <c r="F43" s="25">
        <f t="shared" si="0"/>
        <v>-657.02</v>
      </c>
      <c r="G43" s="25">
        <v>931111</v>
      </c>
      <c r="H43" s="25">
        <v>0</v>
      </c>
      <c r="I43" s="25">
        <v>87762</v>
      </c>
      <c r="J43" s="25">
        <v>0</v>
      </c>
      <c r="K43" s="25">
        <v>23981</v>
      </c>
      <c r="L43" s="25">
        <v>0</v>
      </c>
      <c r="M43" s="25">
        <v>0</v>
      </c>
      <c r="N43" s="25">
        <v>0</v>
      </c>
      <c r="O43" s="25">
        <v>34237</v>
      </c>
      <c r="P43" s="25">
        <v>0</v>
      </c>
      <c r="Q43" s="25">
        <v>12556</v>
      </c>
      <c r="R43" s="25">
        <v>0</v>
      </c>
      <c r="S43" s="25">
        <v>25225</v>
      </c>
      <c r="T43" s="25">
        <v>0</v>
      </c>
      <c r="U43" s="25">
        <v>0</v>
      </c>
      <c r="V43" s="25">
        <v>0</v>
      </c>
      <c r="W43" s="25">
        <v>27506</v>
      </c>
      <c r="X43" s="25">
        <v>570188</v>
      </c>
      <c r="Y43" s="25">
        <v>1514</v>
      </c>
      <c r="Z43" s="25">
        <v>227594</v>
      </c>
      <c r="AA43" s="25">
        <v>18391</v>
      </c>
      <c r="AB43" s="25">
        <v>66865</v>
      </c>
      <c r="AC43" s="25">
        <v>0</v>
      </c>
      <c r="AD43" s="25">
        <v>16252</v>
      </c>
      <c r="AE43" s="25">
        <v>2499</v>
      </c>
      <c r="AF43" s="25">
        <v>3826</v>
      </c>
      <c r="AG43" s="25">
        <v>804</v>
      </c>
      <c r="AH43" s="25">
        <v>0</v>
      </c>
      <c r="AI43" s="25">
        <v>12079</v>
      </c>
      <c r="AJ43" s="25">
        <v>0</v>
      </c>
      <c r="AK43" s="25">
        <v>34974</v>
      </c>
      <c r="AL43" s="25">
        <v>5500</v>
      </c>
      <c r="AM43" s="25">
        <v>14309</v>
      </c>
      <c r="AN43" s="25">
        <v>0</v>
      </c>
      <c r="AO43" s="25">
        <v>3276</v>
      </c>
      <c r="AP43" s="25">
        <v>21354</v>
      </c>
      <c r="AQ43" s="25">
        <v>15677</v>
      </c>
      <c r="AR43" s="25">
        <v>0</v>
      </c>
      <c r="AS43" s="25">
        <v>19158</v>
      </c>
      <c r="AT43" s="25">
        <v>7567</v>
      </c>
      <c r="AU43" s="25">
        <v>0</v>
      </c>
      <c r="AV43" s="25">
        <v>59887</v>
      </c>
      <c r="AW43" s="25">
        <v>0</v>
      </c>
      <c r="AX43" s="25">
        <v>2301</v>
      </c>
      <c r="AY43" s="25">
        <v>33786</v>
      </c>
      <c r="AZ43" s="25">
        <v>0</v>
      </c>
      <c r="BA43" s="25">
        <v>0</v>
      </c>
      <c r="BB43" s="25">
        <v>0</v>
      </c>
      <c r="BC43" s="25">
        <v>0</v>
      </c>
      <c r="BD43" s="25">
        <v>0</v>
      </c>
      <c r="BE43" s="25">
        <v>0</v>
      </c>
      <c r="BF43" s="25">
        <v>0</v>
      </c>
      <c r="BG43" s="18">
        <v>5000</v>
      </c>
      <c r="BH43" s="18">
        <v>0</v>
      </c>
      <c r="BI43" s="25">
        <v>0</v>
      </c>
      <c r="BJ43" s="25">
        <v>0</v>
      </c>
      <c r="BK43" s="25">
        <v>0</v>
      </c>
    </row>
    <row r="44" spans="1:63">
      <c r="A44" s="18">
        <v>2031</v>
      </c>
      <c r="B44" s="18" t="s">
        <v>65</v>
      </c>
      <c r="C44" s="25">
        <v>248394.45</v>
      </c>
      <c r="D44" s="25">
        <v>0</v>
      </c>
      <c r="E44" s="25">
        <v>-0.18</v>
      </c>
      <c r="F44" s="25">
        <f t="shared" si="0"/>
        <v>248394.27000000002</v>
      </c>
      <c r="G44" s="25">
        <v>1183116</v>
      </c>
      <c r="H44" s="25">
        <v>0</v>
      </c>
      <c r="I44" s="25">
        <v>30970</v>
      </c>
      <c r="J44" s="25">
        <v>0</v>
      </c>
      <c r="K44" s="25">
        <v>117000</v>
      </c>
      <c r="L44" s="25">
        <v>2785</v>
      </c>
      <c r="M44" s="25">
        <v>2890</v>
      </c>
      <c r="N44" s="25">
        <v>49221</v>
      </c>
      <c r="O44" s="25">
        <v>24184</v>
      </c>
      <c r="P44" s="25">
        <v>12572</v>
      </c>
      <c r="Q44" s="25">
        <v>6167</v>
      </c>
      <c r="R44" s="25">
        <v>12670</v>
      </c>
      <c r="S44" s="25">
        <v>7320</v>
      </c>
      <c r="T44" s="25">
        <v>0</v>
      </c>
      <c r="U44" s="25">
        <v>0</v>
      </c>
      <c r="V44" s="25">
        <v>0</v>
      </c>
      <c r="W44" s="25">
        <v>23218</v>
      </c>
      <c r="X44" s="25">
        <v>631267</v>
      </c>
      <c r="Y44" s="25">
        <v>2799</v>
      </c>
      <c r="Z44" s="25">
        <v>338403</v>
      </c>
      <c r="AA44" s="25">
        <v>22550</v>
      </c>
      <c r="AB44" s="25">
        <v>35060</v>
      </c>
      <c r="AC44" s="25">
        <v>0</v>
      </c>
      <c r="AD44" s="25">
        <v>51741</v>
      </c>
      <c r="AE44" s="25">
        <v>7088</v>
      </c>
      <c r="AF44" s="25">
        <v>12527</v>
      </c>
      <c r="AG44" s="25">
        <v>11703</v>
      </c>
      <c r="AH44" s="25">
        <v>941</v>
      </c>
      <c r="AI44" s="25">
        <v>33781</v>
      </c>
      <c r="AJ44" s="25">
        <v>10836</v>
      </c>
      <c r="AK44" s="25">
        <v>20659</v>
      </c>
      <c r="AL44" s="25">
        <v>4084</v>
      </c>
      <c r="AM44" s="25">
        <v>18193</v>
      </c>
      <c r="AN44" s="25">
        <v>0</v>
      </c>
      <c r="AO44" s="25">
        <v>7407</v>
      </c>
      <c r="AP44" s="25">
        <v>71695</v>
      </c>
      <c r="AQ44" s="25">
        <v>13083</v>
      </c>
      <c r="AR44" s="25">
        <v>0</v>
      </c>
      <c r="AS44" s="25">
        <v>8348</v>
      </c>
      <c r="AT44" s="25">
        <v>5590</v>
      </c>
      <c r="AU44" s="25">
        <v>8550</v>
      </c>
      <c r="AV44" s="25">
        <v>54686</v>
      </c>
      <c r="AW44" s="25">
        <v>80992</v>
      </c>
      <c r="AX44" s="25">
        <v>74704</v>
      </c>
      <c r="AY44" s="25">
        <v>34445</v>
      </c>
      <c r="AZ44" s="25">
        <v>0</v>
      </c>
      <c r="BA44" s="25">
        <v>50621</v>
      </c>
      <c r="BB44" s="25">
        <v>0</v>
      </c>
      <c r="BC44" s="25">
        <v>0</v>
      </c>
      <c r="BD44" s="25">
        <v>6373</v>
      </c>
      <c r="BE44" s="25">
        <v>0</v>
      </c>
      <c r="BF44" s="25">
        <v>50621</v>
      </c>
      <c r="BG44" s="18">
        <v>5000</v>
      </c>
      <c r="BH44" s="18">
        <v>0</v>
      </c>
      <c r="BI44" s="25">
        <v>46600</v>
      </c>
      <c r="BJ44" s="25">
        <v>0</v>
      </c>
      <c r="BK44" s="25">
        <v>10395</v>
      </c>
    </row>
    <row r="45" spans="1:63">
      <c r="A45" s="18">
        <v>2032</v>
      </c>
      <c r="B45" s="18" t="s">
        <v>66</v>
      </c>
      <c r="C45" s="25">
        <v>150371.49</v>
      </c>
      <c r="D45" s="25">
        <v>0</v>
      </c>
      <c r="E45" s="25">
        <v>260.74</v>
      </c>
      <c r="F45" s="25">
        <f t="shared" si="0"/>
        <v>150632.22999999998</v>
      </c>
      <c r="G45" s="25">
        <v>2184774</v>
      </c>
      <c r="H45" s="25">
        <v>0</v>
      </c>
      <c r="I45" s="25">
        <v>87922</v>
      </c>
      <c r="J45" s="25">
        <v>0</v>
      </c>
      <c r="K45" s="25">
        <v>164350</v>
      </c>
      <c r="L45" s="25">
        <v>0</v>
      </c>
      <c r="M45" s="25">
        <v>0</v>
      </c>
      <c r="N45" s="25">
        <v>101383</v>
      </c>
      <c r="O45" s="25">
        <v>47733</v>
      </c>
      <c r="P45" s="25">
        <v>0</v>
      </c>
      <c r="Q45" s="25">
        <v>0</v>
      </c>
      <c r="R45" s="25">
        <v>0</v>
      </c>
      <c r="S45" s="25">
        <v>28722</v>
      </c>
      <c r="T45" s="25">
        <v>0</v>
      </c>
      <c r="U45" s="25">
        <v>0</v>
      </c>
      <c r="V45" s="25">
        <v>0</v>
      </c>
      <c r="W45" s="25">
        <v>48724</v>
      </c>
      <c r="X45" s="25">
        <v>1137567</v>
      </c>
      <c r="Y45" s="25">
        <v>27613</v>
      </c>
      <c r="Z45" s="25">
        <v>553608</v>
      </c>
      <c r="AA45" s="25">
        <v>30432</v>
      </c>
      <c r="AB45" s="25">
        <v>82637</v>
      </c>
      <c r="AC45" s="25">
        <v>0</v>
      </c>
      <c r="AD45" s="25">
        <v>48227</v>
      </c>
      <c r="AE45" s="25">
        <v>5391</v>
      </c>
      <c r="AF45" s="25">
        <v>6339</v>
      </c>
      <c r="AG45" s="25">
        <v>17022</v>
      </c>
      <c r="AH45" s="25">
        <v>2272</v>
      </c>
      <c r="AI45" s="25">
        <v>121498</v>
      </c>
      <c r="AJ45" s="25">
        <v>2366</v>
      </c>
      <c r="AK45" s="25">
        <v>40321</v>
      </c>
      <c r="AL45" s="25">
        <v>4600</v>
      </c>
      <c r="AM45" s="25">
        <v>31301</v>
      </c>
      <c r="AN45" s="25">
        <v>20967</v>
      </c>
      <c r="AO45" s="25">
        <v>7840</v>
      </c>
      <c r="AP45" s="25">
        <v>114714</v>
      </c>
      <c r="AQ45" s="25">
        <v>17892</v>
      </c>
      <c r="AR45" s="25">
        <v>0</v>
      </c>
      <c r="AS45" s="25">
        <v>10747</v>
      </c>
      <c r="AT45" s="25">
        <v>10363</v>
      </c>
      <c r="AU45" s="25">
        <v>7650</v>
      </c>
      <c r="AV45" s="25">
        <v>147236</v>
      </c>
      <c r="AW45" s="25">
        <v>136443</v>
      </c>
      <c r="AX45" s="25">
        <v>68697</v>
      </c>
      <c r="AY45" s="25">
        <v>30524</v>
      </c>
      <c r="AZ45" s="25">
        <v>0</v>
      </c>
      <c r="BA45" s="25">
        <v>0</v>
      </c>
      <c r="BB45" s="25">
        <v>-2</v>
      </c>
      <c r="BC45" s="25">
        <v>0</v>
      </c>
      <c r="BD45" s="25">
        <v>9816</v>
      </c>
      <c r="BE45" s="25">
        <v>0</v>
      </c>
      <c r="BF45" s="25">
        <v>0</v>
      </c>
      <c r="BG45" s="18">
        <v>5000</v>
      </c>
      <c r="BH45" s="18">
        <v>0</v>
      </c>
      <c r="BI45" s="25">
        <v>10068</v>
      </c>
      <c r="BJ45" s="25">
        <v>0</v>
      </c>
      <c r="BK45" s="25">
        <v>0</v>
      </c>
    </row>
    <row r="46" spans="1:63">
      <c r="A46" s="18">
        <v>3304</v>
      </c>
      <c r="B46" s="18" t="s">
        <v>67</v>
      </c>
      <c r="C46" s="25">
        <v>1912.32</v>
      </c>
      <c r="D46" s="25">
        <v>0</v>
      </c>
      <c r="E46" s="25">
        <v>-0.95</v>
      </c>
      <c r="F46" s="25">
        <f t="shared" si="0"/>
        <v>1911.37</v>
      </c>
      <c r="G46" s="25">
        <v>1079355</v>
      </c>
      <c r="H46" s="25">
        <v>0</v>
      </c>
      <c r="I46" s="25">
        <v>28368</v>
      </c>
      <c r="J46" s="25">
        <v>0</v>
      </c>
      <c r="K46" s="25">
        <v>84300</v>
      </c>
      <c r="L46" s="25">
        <v>11264</v>
      </c>
      <c r="M46" s="25">
        <v>2400</v>
      </c>
      <c r="N46" s="25">
        <v>60950</v>
      </c>
      <c r="O46" s="25">
        <v>26234</v>
      </c>
      <c r="P46" s="25">
        <v>0</v>
      </c>
      <c r="Q46" s="25">
        <v>226</v>
      </c>
      <c r="R46" s="25">
        <v>19637</v>
      </c>
      <c r="S46" s="25">
        <v>8906</v>
      </c>
      <c r="T46" s="25">
        <v>0</v>
      </c>
      <c r="U46" s="25">
        <v>0</v>
      </c>
      <c r="V46" s="25">
        <v>0</v>
      </c>
      <c r="W46" s="25">
        <v>26377</v>
      </c>
      <c r="X46" s="25">
        <v>567321</v>
      </c>
      <c r="Y46" s="25">
        <v>0</v>
      </c>
      <c r="Z46" s="25">
        <v>194310</v>
      </c>
      <c r="AA46" s="25">
        <v>32675</v>
      </c>
      <c r="AB46" s="25">
        <v>59500</v>
      </c>
      <c r="AC46" s="25">
        <v>0</v>
      </c>
      <c r="AD46" s="25">
        <v>55688</v>
      </c>
      <c r="AE46" s="25">
        <v>8010</v>
      </c>
      <c r="AF46" s="25">
        <v>3536</v>
      </c>
      <c r="AG46" s="25">
        <v>11027</v>
      </c>
      <c r="AH46" s="25">
        <v>2469</v>
      </c>
      <c r="AI46" s="25">
        <v>24466</v>
      </c>
      <c r="AJ46" s="25">
        <v>2546</v>
      </c>
      <c r="AK46" s="25">
        <v>21217</v>
      </c>
      <c r="AL46" s="25">
        <v>3698</v>
      </c>
      <c r="AM46" s="25">
        <v>14891</v>
      </c>
      <c r="AN46" s="25">
        <v>0</v>
      </c>
      <c r="AO46" s="25">
        <v>10733</v>
      </c>
      <c r="AP46" s="25">
        <v>46292</v>
      </c>
      <c r="AQ46" s="25">
        <v>9796</v>
      </c>
      <c r="AR46" s="25">
        <v>0</v>
      </c>
      <c r="AS46" s="25">
        <v>12592</v>
      </c>
      <c r="AT46" s="25">
        <v>300</v>
      </c>
      <c r="AU46" s="25">
        <v>29897</v>
      </c>
      <c r="AV46" s="25">
        <v>62593</v>
      </c>
      <c r="AW46" s="25">
        <v>53276</v>
      </c>
      <c r="AX46" s="25">
        <v>54601</v>
      </c>
      <c r="AY46" s="25">
        <v>38047</v>
      </c>
      <c r="AZ46" s="25">
        <v>0</v>
      </c>
      <c r="BA46" s="25">
        <v>7088</v>
      </c>
      <c r="BB46" s="25">
        <v>0</v>
      </c>
      <c r="BC46" s="25">
        <v>0</v>
      </c>
      <c r="BD46" s="25">
        <v>0</v>
      </c>
      <c r="BE46" s="25">
        <v>0</v>
      </c>
      <c r="BF46" s="25">
        <v>7088</v>
      </c>
      <c r="BG46" s="18">
        <v>5000</v>
      </c>
      <c r="BH46" s="18">
        <v>0</v>
      </c>
      <c r="BI46" s="25">
        <v>-5007</v>
      </c>
      <c r="BJ46" s="25">
        <v>0</v>
      </c>
      <c r="BK46" s="25">
        <v>5242</v>
      </c>
    </row>
    <row r="47" spans="1:63">
      <c r="A47" s="18">
        <v>2036</v>
      </c>
      <c r="B47" s="18" t="s">
        <v>68</v>
      </c>
      <c r="C47" s="25">
        <v>473310.03</v>
      </c>
      <c r="D47" s="25">
        <v>0</v>
      </c>
      <c r="E47" s="25">
        <v>-3098.67</v>
      </c>
      <c r="F47" s="25">
        <f t="shared" si="0"/>
        <v>470211.36000000004</v>
      </c>
      <c r="G47" s="25">
        <v>1517717</v>
      </c>
      <c r="H47" s="25">
        <v>0</v>
      </c>
      <c r="I47" s="25">
        <v>452151</v>
      </c>
      <c r="J47" s="25">
        <v>0</v>
      </c>
      <c r="K47" s="25">
        <v>114400</v>
      </c>
      <c r="L47" s="25">
        <v>0</v>
      </c>
      <c r="M47" s="25">
        <v>1940</v>
      </c>
      <c r="N47" s="25">
        <v>33220</v>
      </c>
      <c r="O47" s="25">
        <v>21415</v>
      </c>
      <c r="P47" s="25">
        <v>0</v>
      </c>
      <c r="Q47" s="25">
        <v>0</v>
      </c>
      <c r="R47" s="25">
        <v>20411</v>
      </c>
      <c r="S47" s="25">
        <v>726</v>
      </c>
      <c r="T47" s="25">
        <v>0</v>
      </c>
      <c r="U47" s="25">
        <v>0</v>
      </c>
      <c r="V47" s="25">
        <v>0</v>
      </c>
      <c r="W47" s="25">
        <v>27665</v>
      </c>
      <c r="X47" s="25">
        <v>872531</v>
      </c>
      <c r="Y47" s="25">
        <v>15420</v>
      </c>
      <c r="Z47" s="25">
        <v>597592</v>
      </c>
      <c r="AA47" s="25">
        <v>47931</v>
      </c>
      <c r="AB47" s="25">
        <v>61483</v>
      </c>
      <c r="AC47" s="25">
        <v>0</v>
      </c>
      <c r="AD47" s="25">
        <v>13511</v>
      </c>
      <c r="AE47" s="25">
        <v>12070</v>
      </c>
      <c r="AF47" s="25">
        <v>9072</v>
      </c>
      <c r="AG47" s="25">
        <v>672</v>
      </c>
      <c r="AH47" s="25">
        <v>1063</v>
      </c>
      <c r="AI47" s="25">
        <v>77422</v>
      </c>
      <c r="AJ47" s="25">
        <v>21567</v>
      </c>
      <c r="AK47" s="25">
        <v>13103</v>
      </c>
      <c r="AL47" s="25">
        <v>2430</v>
      </c>
      <c r="AM47" s="25">
        <v>19660</v>
      </c>
      <c r="AN47" s="25">
        <v>13858</v>
      </c>
      <c r="AO47" s="25">
        <v>7048</v>
      </c>
      <c r="AP47" s="25">
        <v>88683</v>
      </c>
      <c r="AQ47" s="25">
        <v>35389</v>
      </c>
      <c r="AR47" s="25">
        <v>0</v>
      </c>
      <c r="AS47" s="25">
        <v>16751</v>
      </c>
      <c r="AT47" s="25">
        <v>8382</v>
      </c>
      <c r="AU47" s="25">
        <v>7421</v>
      </c>
      <c r="AV47" s="25">
        <v>63796</v>
      </c>
      <c r="AW47" s="25">
        <v>31216</v>
      </c>
      <c r="AX47" s="25">
        <v>118141</v>
      </c>
      <c r="AY47" s="25">
        <v>30840</v>
      </c>
      <c r="AZ47" s="25">
        <v>0</v>
      </c>
      <c r="BA47" s="25">
        <v>107481</v>
      </c>
      <c r="BB47" s="25">
        <v>0</v>
      </c>
      <c r="BC47" s="25">
        <v>0</v>
      </c>
      <c r="BD47" s="25">
        <v>6432</v>
      </c>
      <c r="BE47" s="25">
        <v>0</v>
      </c>
      <c r="BF47" s="25">
        <v>107481</v>
      </c>
      <c r="BG47" s="18">
        <v>5000</v>
      </c>
      <c r="BH47" s="18">
        <v>0</v>
      </c>
      <c r="BI47" s="25">
        <v>77660</v>
      </c>
      <c r="BJ47" s="25">
        <v>0</v>
      </c>
      <c r="BK47" s="25">
        <v>33120</v>
      </c>
    </row>
    <row r="48" spans="1:63">
      <c r="A48" s="18">
        <v>2037</v>
      </c>
      <c r="B48" s="18" t="s">
        <v>69</v>
      </c>
      <c r="C48" s="25">
        <v>90475.57</v>
      </c>
      <c r="D48" s="25">
        <v>0</v>
      </c>
      <c r="E48" s="25">
        <v>6941.75</v>
      </c>
      <c r="F48" s="25">
        <f t="shared" si="0"/>
        <v>97417.32</v>
      </c>
      <c r="G48" s="25">
        <v>1346831</v>
      </c>
      <c r="H48" s="25">
        <v>0</v>
      </c>
      <c r="I48" s="25">
        <v>82798</v>
      </c>
      <c r="J48" s="25">
        <v>0</v>
      </c>
      <c r="K48" s="25">
        <v>111132</v>
      </c>
      <c r="L48" s="25">
        <v>2306</v>
      </c>
      <c r="M48" s="25">
        <v>11622</v>
      </c>
      <c r="N48" s="25">
        <v>23543</v>
      </c>
      <c r="O48" s="25">
        <v>34664</v>
      </c>
      <c r="P48" s="25">
        <v>10568</v>
      </c>
      <c r="Q48" s="25">
        <v>0</v>
      </c>
      <c r="R48" s="25">
        <v>18382</v>
      </c>
      <c r="S48" s="25">
        <v>4445</v>
      </c>
      <c r="T48" s="25">
        <v>0</v>
      </c>
      <c r="U48" s="25">
        <v>0</v>
      </c>
      <c r="V48" s="25">
        <v>0</v>
      </c>
      <c r="W48" s="25">
        <v>31418</v>
      </c>
      <c r="X48" s="25">
        <v>668650</v>
      </c>
      <c r="Y48" s="25">
        <v>600</v>
      </c>
      <c r="Z48" s="25">
        <v>404480</v>
      </c>
      <c r="AA48" s="25">
        <v>42020</v>
      </c>
      <c r="AB48" s="25">
        <v>45843</v>
      </c>
      <c r="AC48" s="25">
        <v>2741</v>
      </c>
      <c r="AD48" s="25">
        <v>46605</v>
      </c>
      <c r="AE48" s="25">
        <v>3380</v>
      </c>
      <c r="AF48" s="25">
        <v>4117</v>
      </c>
      <c r="AG48" s="25">
        <v>13036</v>
      </c>
      <c r="AH48" s="25">
        <v>1176</v>
      </c>
      <c r="AI48" s="25">
        <v>18402</v>
      </c>
      <c r="AJ48" s="25">
        <v>633</v>
      </c>
      <c r="AK48" s="25">
        <v>27894</v>
      </c>
      <c r="AL48" s="25">
        <v>2078</v>
      </c>
      <c r="AM48" s="25">
        <v>31690</v>
      </c>
      <c r="AN48" s="25">
        <v>16147</v>
      </c>
      <c r="AO48" s="25">
        <v>6182</v>
      </c>
      <c r="AP48" s="25">
        <v>63025</v>
      </c>
      <c r="AQ48" s="25">
        <v>26823</v>
      </c>
      <c r="AR48" s="25">
        <v>0</v>
      </c>
      <c r="AS48" s="25">
        <v>6358</v>
      </c>
      <c r="AT48" s="25">
        <v>12184</v>
      </c>
      <c r="AU48" s="25">
        <v>8358</v>
      </c>
      <c r="AV48" s="25">
        <v>75921</v>
      </c>
      <c r="AW48" s="25">
        <v>42235</v>
      </c>
      <c r="AX48" s="25">
        <v>60415</v>
      </c>
      <c r="AY48" s="25">
        <v>43001</v>
      </c>
      <c r="AZ48" s="25">
        <v>0</v>
      </c>
      <c r="BA48" s="25">
        <v>0</v>
      </c>
      <c r="BB48" s="25">
        <v>1</v>
      </c>
      <c r="BC48" s="25">
        <v>0</v>
      </c>
      <c r="BD48" s="25">
        <v>6976</v>
      </c>
      <c r="BE48" s="25">
        <v>0</v>
      </c>
      <c r="BF48" s="25">
        <v>0</v>
      </c>
      <c r="BG48" s="18">
        <v>5000</v>
      </c>
      <c r="BH48" s="18">
        <v>0</v>
      </c>
      <c r="BI48" s="25">
        <v>5964</v>
      </c>
      <c r="BJ48" s="25">
        <v>0</v>
      </c>
      <c r="BK48" s="25">
        <v>7615</v>
      </c>
    </row>
    <row r="49" spans="1:63">
      <c r="A49" s="18">
        <v>3523</v>
      </c>
      <c r="B49" s="18" t="s">
        <v>242</v>
      </c>
      <c r="C49" s="25">
        <v>250828.1</v>
      </c>
      <c r="D49" s="25">
        <v>0</v>
      </c>
      <c r="E49" s="25">
        <v>-0.59</v>
      </c>
      <c r="F49" s="25">
        <f t="shared" si="0"/>
        <v>250827.51</v>
      </c>
      <c r="G49" s="25">
        <v>2443852</v>
      </c>
      <c r="H49" s="25">
        <v>0</v>
      </c>
      <c r="I49" s="25">
        <v>162750</v>
      </c>
      <c r="J49" s="25">
        <v>0</v>
      </c>
      <c r="K49" s="25">
        <v>198390</v>
      </c>
      <c r="L49" s="25">
        <v>3038</v>
      </c>
      <c r="M49" s="25">
        <v>27248</v>
      </c>
      <c r="N49" s="25">
        <v>72713</v>
      </c>
      <c r="O49" s="25">
        <v>39022</v>
      </c>
      <c r="P49" s="25">
        <v>9151</v>
      </c>
      <c r="Q49" s="25">
        <v>6253</v>
      </c>
      <c r="R49" s="25">
        <v>55922</v>
      </c>
      <c r="S49" s="25">
        <v>14074</v>
      </c>
      <c r="T49" s="25">
        <v>0</v>
      </c>
      <c r="U49" s="25">
        <v>0</v>
      </c>
      <c r="V49" s="25">
        <v>0</v>
      </c>
      <c r="W49" s="25">
        <v>62709</v>
      </c>
      <c r="X49" s="25">
        <v>1259432</v>
      </c>
      <c r="Y49" s="25">
        <v>0</v>
      </c>
      <c r="Z49" s="25">
        <v>761855</v>
      </c>
      <c r="AA49" s="25">
        <v>124081</v>
      </c>
      <c r="AB49" s="25">
        <v>182452</v>
      </c>
      <c r="AC49" s="25">
        <v>0</v>
      </c>
      <c r="AD49" s="25">
        <v>80240</v>
      </c>
      <c r="AE49" s="25">
        <v>41537</v>
      </c>
      <c r="AF49" s="25">
        <v>10519</v>
      </c>
      <c r="AG49" s="25">
        <v>30327</v>
      </c>
      <c r="AH49" s="25">
        <v>2356</v>
      </c>
      <c r="AI49" s="25">
        <v>56610</v>
      </c>
      <c r="AJ49" s="25">
        <v>515</v>
      </c>
      <c r="AK49" s="25">
        <v>6415</v>
      </c>
      <c r="AL49" s="25">
        <v>1177</v>
      </c>
      <c r="AM49" s="25">
        <v>38711</v>
      </c>
      <c r="AN49" s="25">
        <v>29116</v>
      </c>
      <c r="AO49" s="25">
        <v>7778</v>
      </c>
      <c r="AP49" s="25">
        <v>120353</v>
      </c>
      <c r="AQ49" s="25">
        <v>20439</v>
      </c>
      <c r="AR49" s="25">
        <v>0</v>
      </c>
      <c r="AS49" s="25">
        <v>14846</v>
      </c>
      <c r="AT49" s="25">
        <v>12091</v>
      </c>
      <c r="AU49" s="25">
        <v>1038</v>
      </c>
      <c r="AV49" s="25">
        <v>122999</v>
      </c>
      <c r="AW49" s="25">
        <v>51578</v>
      </c>
      <c r="AX49" s="25">
        <v>73172</v>
      </c>
      <c r="AY49" s="25">
        <v>26761</v>
      </c>
      <c r="AZ49" s="25">
        <v>0</v>
      </c>
      <c r="BA49" s="25">
        <v>89689</v>
      </c>
      <c r="BB49" s="25">
        <v>0</v>
      </c>
      <c r="BC49" s="25">
        <v>0</v>
      </c>
      <c r="BD49" s="25">
        <v>9772</v>
      </c>
      <c r="BE49" s="25">
        <v>16000</v>
      </c>
      <c r="BF49" s="25">
        <v>89689</v>
      </c>
      <c r="BG49" s="18">
        <v>5000</v>
      </c>
      <c r="BH49" s="18">
        <v>0</v>
      </c>
      <c r="BI49" s="25">
        <v>97367</v>
      </c>
      <c r="BJ49" s="25">
        <v>0</v>
      </c>
      <c r="BK49" s="25">
        <v>23238</v>
      </c>
    </row>
    <row r="50" spans="1:63">
      <c r="A50" s="18">
        <v>5948</v>
      </c>
      <c r="B50" s="18" t="s">
        <v>71</v>
      </c>
      <c r="C50" s="25">
        <v>3413.57</v>
      </c>
      <c r="D50" s="25">
        <v>0</v>
      </c>
      <c r="E50" s="25">
        <v>0</v>
      </c>
      <c r="F50" s="25">
        <f t="shared" si="0"/>
        <v>3413.57</v>
      </c>
      <c r="G50" s="25">
        <v>907089</v>
      </c>
      <c r="H50" s="25">
        <v>0</v>
      </c>
      <c r="I50" s="25">
        <v>60332</v>
      </c>
      <c r="J50" s="25">
        <v>0</v>
      </c>
      <c r="K50" s="25">
        <v>20100</v>
      </c>
      <c r="L50" s="25">
        <v>60013</v>
      </c>
      <c r="M50" s="25">
        <v>8347</v>
      </c>
      <c r="N50" s="25">
        <v>58039</v>
      </c>
      <c r="O50" s="25">
        <v>23170</v>
      </c>
      <c r="P50" s="25">
        <v>7850</v>
      </c>
      <c r="Q50" s="25">
        <v>1734</v>
      </c>
      <c r="R50" s="25">
        <v>28661</v>
      </c>
      <c r="S50" s="25">
        <v>285754</v>
      </c>
      <c r="T50" s="25">
        <v>0</v>
      </c>
      <c r="U50" s="25">
        <v>0</v>
      </c>
      <c r="V50" s="25">
        <v>-4614</v>
      </c>
      <c r="W50" s="25">
        <v>28631</v>
      </c>
      <c r="X50" s="25">
        <v>640342</v>
      </c>
      <c r="Y50" s="25">
        <v>28827</v>
      </c>
      <c r="Z50" s="25">
        <v>380929</v>
      </c>
      <c r="AA50" s="25">
        <v>39288</v>
      </c>
      <c r="AB50" s="25">
        <v>65972</v>
      </c>
      <c r="AC50" s="25">
        <v>0</v>
      </c>
      <c r="AD50" s="25">
        <v>4730</v>
      </c>
      <c r="AE50" s="25">
        <v>3729</v>
      </c>
      <c r="AF50" s="25">
        <v>4140</v>
      </c>
      <c r="AG50" s="25">
        <v>5896</v>
      </c>
      <c r="AH50" s="25">
        <v>7015</v>
      </c>
      <c r="AI50" s="25">
        <v>23282</v>
      </c>
      <c r="AJ50" s="25">
        <v>2287</v>
      </c>
      <c r="AK50" s="25">
        <v>15034</v>
      </c>
      <c r="AL50" s="25">
        <v>2131</v>
      </c>
      <c r="AM50" s="25">
        <v>17545</v>
      </c>
      <c r="AN50" s="25">
        <v>0</v>
      </c>
      <c r="AO50" s="25">
        <v>55755</v>
      </c>
      <c r="AP50" s="25">
        <v>36665</v>
      </c>
      <c r="AQ50" s="25">
        <v>22851</v>
      </c>
      <c r="AR50" s="25">
        <v>0</v>
      </c>
      <c r="AS50" s="25">
        <v>10209</v>
      </c>
      <c r="AT50" s="25">
        <v>12352</v>
      </c>
      <c r="AU50" s="25">
        <v>11149</v>
      </c>
      <c r="AV50" s="25">
        <v>48961</v>
      </c>
      <c r="AW50" s="25">
        <v>10663</v>
      </c>
      <c r="AX50" s="25">
        <v>15907</v>
      </c>
      <c r="AY50" s="25">
        <v>22394</v>
      </c>
      <c r="AZ50" s="25">
        <v>0</v>
      </c>
      <c r="BA50" s="25">
        <v>0</v>
      </c>
      <c r="BB50" s="25">
        <v>0</v>
      </c>
      <c r="BC50" s="25">
        <v>0</v>
      </c>
      <c r="BD50" s="25">
        <v>0</v>
      </c>
      <c r="BE50" s="25">
        <v>0</v>
      </c>
      <c r="BF50" s="25">
        <v>0</v>
      </c>
      <c r="BG50" s="18">
        <v>5000</v>
      </c>
      <c r="BH50" s="18">
        <v>0</v>
      </c>
      <c r="BI50" s="25">
        <v>0</v>
      </c>
      <c r="BJ50" s="25">
        <v>0</v>
      </c>
      <c r="BK50" s="25">
        <v>0</v>
      </c>
    </row>
    <row r="51" spans="1:63">
      <c r="A51" s="18">
        <v>5949</v>
      </c>
      <c r="B51" s="18" t="s">
        <v>72</v>
      </c>
      <c r="C51" s="25">
        <v>20540.79</v>
      </c>
      <c r="D51" s="25">
        <v>0</v>
      </c>
      <c r="E51" s="25">
        <v>0</v>
      </c>
      <c r="F51" s="25">
        <f t="shared" si="0"/>
        <v>20540.79</v>
      </c>
      <c r="G51" s="25">
        <v>1068136</v>
      </c>
      <c r="H51" s="25">
        <v>0</v>
      </c>
      <c r="I51" s="25">
        <v>66966</v>
      </c>
      <c r="J51" s="25">
        <v>0</v>
      </c>
      <c r="K51" s="25">
        <v>19300</v>
      </c>
      <c r="L51" s="25">
        <v>20594</v>
      </c>
      <c r="M51" s="25">
        <v>58138</v>
      </c>
      <c r="N51" s="25">
        <v>2522</v>
      </c>
      <c r="O51" s="25">
        <v>22139</v>
      </c>
      <c r="P51" s="25">
        <v>0</v>
      </c>
      <c r="Q51" s="25">
        <v>8372</v>
      </c>
      <c r="R51" s="25">
        <v>25247</v>
      </c>
      <c r="S51" s="25">
        <v>145193</v>
      </c>
      <c r="T51" s="25">
        <v>0</v>
      </c>
      <c r="U51" s="25">
        <v>0</v>
      </c>
      <c r="V51" s="25">
        <v>0</v>
      </c>
      <c r="W51" s="25">
        <v>34654</v>
      </c>
      <c r="X51" s="25">
        <v>655608</v>
      </c>
      <c r="Y51" s="25">
        <v>16997</v>
      </c>
      <c r="Z51" s="25">
        <v>251942</v>
      </c>
      <c r="AA51" s="25">
        <v>28243</v>
      </c>
      <c r="AB51" s="25">
        <v>92274</v>
      </c>
      <c r="AC51" s="25">
        <v>2296</v>
      </c>
      <c r="AD51" s="25">
        <v>22903</v>
      </c>
      <c r="AE51" s="25">
        <v>36728</v>
      </c>
      <c r="AF51" s="25">
        <v>4830</v>
      </c>
      <c r="AG51" s="25">
        <v>13707</v>
      </c>
      <c r="AH51" s="25">
        <v>2600</v>
      </c>
      <c r="AI51" s="25">
        <v>28892</v>
      </c>
      <c r="AJ51" s="25">
        <v>0</v>
      </c>
      <c r="AK51" s="25">
        <v>13022</v>
      </c>
      <c r="AL51" s="25">
        <v>2317</v>
      </c>
      <c r="AM51" s="25">
        <v>20522</v>
      </c>
      <c r="AN51" s="25">
        <v>0</v>
      </c>
      <c r="AO51" s="25">
        <v>9331</v>
      </c>
      <c r="AP51" s="25">
        <v>53931</v>
      </c>
      <c r="AQ51" s="25">
        <v>33313</v>
      </c>
      <c r="AR51" s="25">
        <v>0</v>
      </c>
      <c r="AS51" s="25">
        <v>8783</v>
      </c>
      <c r="AT51" s="25">
        <v>16247</v>
      </c>
      <c r="AU51" s="25">
        <v>2279</v>
      </c>
      <c r="AV51" s="25">
        <v>67577</v>
      </c>
      <c r="AW51" s="25">
        <v>92384</v>
      </c>
      <c r="AX51" s="25">
        <v>25836</v>
      </c>
      <c r="AY51" s="25">
        <v>49537</v>
      </c>
      <c r="AZ51" s="25">
        <v>0</v>
      </c>
      <c r="BA51" s="25">
        <v>0</v>
      </c>
      <c r="BB51" s="25">
        <v>0</v>
      </c>
      <c r="BC51" s="25">
        <v>0</v>
      </c>
      <c r="BD51" s="25">
        <v>0</v>
      </c>
      <c r="BE51" s="25">
        <v>0</v>
      </c>
      <c r="BF51" s="25">
        <v>0</v>
      </c>
      <c r="BG51" s="18">
        <v>5000</v>
      </c>
      <c r="BH51" s="18">
        <v>0</v>
      </c>
      <c r="BI51" s="25">
        <v>0</v>
      </c>
      <c r="BJ51" s="25">
        <v>0</v>
      </c>
      <c r="BK51" s="25">
        <v>0</v>
      </c>
    </row>
    <row r="52" spans="1:63">
      <c r="A52" s="18">
        <v>3513</v>
      </c>
      <c r="B52" s="18" t="s">
        <v>73</v>
      </c>
      <c r="C52" s="25">
        <v>33815.17</v>
      </c>
      <c r="D52" s="25">
        <v>0</v>
      </c>
      <c r="E52" s="25">
        <v>0</v>
      </c>
      <c r="F52" s="25">
        <f t="shared" si="0"/>
        <v>33815.17</v>
      </c>
      <c r="G52" s="25">
        <v>1589804</v>
      </c>
      <c r="H52" s="25">
        <v>0</v>
      </c>
      <c r="I52" s="25">
        <v>139206</v>
      </c>
      <c r="J52" s="25">
        <v>0</v>
      </c>
      <c r="K52" s="25">
        <v>20958</v>
      </c>
      <c r="L52" s="25">
        <v>0</v>
      </c>
      <c r="M52" s="25">
        <v>0</v>
      </c>
      <c r="N52" s="25">
        <v>0</v>
      </c>
      <c r="O52" s="25">
        <v>34372</v>
      </c>
      <c r="P52" s="25">
        <v>35884</v>
      </c>
      <c r="Q52" s="25">
        <v>8755</v>
      </c>
      <c r="R52" s="25">
        <v>14143</v>
      </c>
      <c r="S52" s="25">
        <v>47749</v>
      </c>
      <c r="T52" s="25">
        <v>0</v>
      </c>
      <c r="U52" s="25">
        <v>0</v>
      </c>
      <c r="V52" s="25">
        <v>0</v>
      </c>
      <c r="W52" s="25">
        <v>46427</v>
      </c>
      <c r="X52" s="25">
        <v>1145637</v>
      </c>
      <c r="Y52" s="25">
        <v>1156</v>
      </c>
      <c r="Z52" s="25">
        <v>191902</v>
      </c>
      <c r="AA52" s="25">
        <v>30626</v>
      </c>
      <c r="AB52" s="25">
        <v>75398</v>
      </c>
      <c r="AC52" s="25">
        <v>0</v>
      </c>
      <c r="AD52" s="25">
        <v>4513</v>
      </c>
      <c r="AE52" s="25">
        <v>8214</v>
      </c>
      <c r="AF52" s="25">
        <v>6666</v>
      </c>
      <c r="AG52" s="25">
        <v>14156</v>
      </c>
      <c r="AH52" s="25">
        <v>0</v>
      </c>
      <c r="AI52" s="25">
        <v>28112</v>
      </c>
      <c r="AJ52" s="25">
        <v>10</v>
      </c>
      <c r="AK52" s="25">
        <v>62194</v>
      </c>
      <c r="AL52" s="25">
        <v>5656</v>
      </c>
      <c r="AM52" s="25">
        <v>30440</v>
      </c>
      <c r="AN52" s="25">
        <v>0</v>
      </c>
      <c r="AO52" s="25">
        <v>18495</v>
      </c>
      <c r="AP52" s="25">
        <v>74030</v>
      </c>
      <c r="AQ52" s="25">
        <v>16118</v>
      </c>
      <c r="AR52" s="25">
        <v>0</v>
      </c>
      <c r="AS52" s="25">
        <v>10500</v>
      </c>
      <c r="AT52" s="25">
        <v>0</v>
      </c>
      <c r="AU52" s="25">
        <v>0</v>
      </c>
      <c r="AV52" s="25">
        <v>90765</v>
      </c>
      <c r="AW52" s="25">
        <v>0</v>
      </c>
      <c r="AX52" s="25">
        <v>110788</v>
      </c>
      <c r="AY52" s="25">
        <v>14811</v>
      </c>
      <c r="AZ52" s="25">
        <v>0</v>
      </c>
      <c r="BA52" s="25">
        <v>0</v>
      </c>
      <c r="BB52" s="25">
        <v>-1</v>
      </c>
      <c r="BC52" s="25">
        <v>0</v>
      </c>
      <c r="BD52" s="25">
        <v>0</v>
      </c>
      <c r="BE52" s="25">
        <v>0</v>
      </c>
      <c r="BF52" s="25">
        <v>0</v>
      </c>
      <c r="BG52" s="18">
        <v>5000</v>
      </c>
      <c r="BH52" s="18">
        <v>0</v>
      </c>
      <c r="BI52" s="25">
        <v>0</v>
      </c>
      <c r="BJ52" s="25">
        <v>0</v>
      </c>
      <c r="BK52" s="25">
        <v>0</v>
      </c>
    </row>
    <row r="53" spans="1:63">
      <c r="A53" s="18">
        <v>3305</v>
      </c>
      <c r="B53" s="18" t="s">
        <v>74</v>
      </c>
      <c r="C53" s="25">
        <v>928.16</v>
      </c>
      <c r="D53" s="25">
        <v>0</v>
      </c>
      <c r="E53" s="25">
        <v>-0.08</v>
      </c>
      <c r="F53" s="25">
        <f t="shared" si="0"/>
        <v>928.07999999999993</v>
      </c>
      <c r="G53" s="25">
        <v>609967</v>
      </c>
      <c r="H53" s="25">
        <v>0</v>
      </c>
      <c r="I53" s="25">
        <v>36099</v>
      </c>
      <c r="J53" s="25">
        <v>0</v>
      </c>
      <c r="K53" s="25">
        <v>10490</v>
      </c>
      <c r="L53" s="25">
        <v>1625</v>
      </c>
      <c r="M53" s="25">
        <v>1964</v>
      </c>
      <c r="N53" s="25">
        <v>8748</v>
      </c>
      <c r="O53" s="25">
        <v>16271</v>
      </c>
      <c r="P53" s="25">
        <v>9234</v>
      </c>
      <c r="Q53" s="25">
        <v>0</v>
      </c>
      <c r="R53" s="25">
        <v>19154</v>
      </c>
      <c r="S53" s="25">
        <v>7888</v>
      </c>
      <c r="T53" s="25">
        <v>0</v>
      </c>
      <c r="U53" s="25">
        <v>0</v>
      </c>
      <c r="V53" s="25">
        <v>0</v>
      </c>
      <c r="W53" s="25">
        <v>28410</v>
      </c>
      <c r="X53" s="25">
        <v>363150</v>
      </c>
      <c r="Y53" s="25">
        <v>0</v>
      </c>
      <c r="Z53" s="25">
        <v>98698</v>
      </c>
      <c r="AA53" s="25">
        <v>26215</v>
      </c>
      <c r="AB53" s="25">
        <v>25881</v>
      </c>
      <c r="AC53" s="25">
        <v>0</v>
      </c>
      <c r="AD53" s="25">
        <v>21001</v>
      </c>
      <c r="AE53" s="25">
        <v>5549</v>
      </c>
      <c r="AF53" s="25">
        <v>2505</v>
      </c>
      <c r="AG53" s="25">
        <v>5648</v>
      </c>
      <c r="AH53" s="25">
        <v>605</v>
      </c>
      <c r="AI53" s="25">
        <v>5363</v>
      </c>
      <c r="AJ53" s="25">
        <v>75</v>
      </c>
      <c r="AK53" s="25">
        <v>910</v>
      </c>
      <c r="AL53" s="25">
        <v>1579</v>
      </c>
      <c r="AM53" s="25">
        <v>11711</v>
      </c>
      <c r="AN53" s="25">
        <v>0</v>
      </c>
      <c r="AO53" s="25">
        <v>4801</v>
      </c>
      <c r="AP53" s="25">
        <v>39597</v>
      </c>
      <c r="AQ53" s="25">
        <v>8192</v>
      </c>
      <c r="AR53" s="25">
        <v>0</v>
      </c>
      <c r="AS53" s="25">
        <v>6183</v>
      </c>
      <c r="AT53" s="25">
        <v>1474</v>
      </c>
      <c r="AU53" s="25">
        <v>5673</v>
      </c>
      <c r="AV53" s="25">
        <v>36801</v>
      </c>
      <c r="AW53" s="25">
        <v>6019</v>
      </c>
      <c r="AX53" s="25">
        <v>24601</v>
      </c>
      <c r="AY53" s="25">
        <v>18877</v>
      </c>
      <c r="AZ53" s="25">
        <v>0</v>
      </c>
      <c r="BA53" s="25">
        <v>0</v>
      </c>
      <c r="BB53" s="25">
        <v>0</v>
      </c>
      <c r="BC53" s="25">
        <v>0</v>
      </c>
      <c r="BD53" s="25">
        <v>0</v>
      </c>
      <c r="BE53" s="25">
        <v>0</v>
      </c>
      <c r="BF53" s="25">
        <v>0</v>
      </c>
      <c r="BG53" s="18">
        <v>5000</v>
      </c>
      <c r="BH53" s="18">
        <v>0</v>
      </c>
      <c r="BI53" s="25">
        <v>0</v>
      </c>
      <c r="BJ53" s="25">
        <v>0</v>
      </c>
      <c r="BK53" s="25">
        <v>0</v>
      </c>
    </row>
    <row r="54" spans="1:63">
      <c r="A54" s="18">
        <v>2042</v>
      </c>
      <c r="B54" s="18" t="s">
        <v>75</v>
      </c>
      <c r="C54" s="25">
        <v>117621.69</v>
      </c>
      <c r="D54" s="25">
        <v>0</v>
      </c>
      <c r="E54" s="25">
        <v>0</v>
      </c>
      <c r="F54" s="25">
        <f t="shared" si="0"/>
        <v>117621.69</v>
      </c>
      <c r="G54" s="25">
        <v>1062597</v>
      </c>
      <c r="H54" s="25">
        <v>0</v>
      </c>
      <c r="I54" s="25">
        <v>76985</v>
      </c>
      <c r="J54" s="25">
        <v>0</v>
      </c>
      <c r="K54" s="25">
        <v>46700</v>
      </c>
      <c r="L54" s="25">
        <v>63972</v>
      </c>
      <c r="M54" s="25">
        <v>870</v>
      </c>
      <c r="N54" s="25">
        <v>41489</v>
      </c>
      <c r="O54" s="25">
        <v>45656</v>
      </c>
      <c r="P54" s="25">
        <v>330</v>
      </c>
      <c r="Q54" s="25">
        <v>8410</v>
      </c>
      <c r="R54" s="25">
        <v>26813</v>
      </c>
      <c r="S54" s="25">
        <v>12147</v>
      </c>
      <c r="T54" s="25">
        <v>0</v>
      </c>
      <c r="U54" s="25">
        <v>0</v>
      </c>
      <c r="V54" s="25">
        <v>0</v>
      </c>
      <c r="W54" s="25">
        <v>33702</v>
      </c>
      <c r="X54" s="25">
        <v>522172</v>
      </c>
      <c r="Y54" s="25">
        <v>0</v>
      </c>
      <c r="Z54" s="25">
        <v>322096</v>
      </c>
      <c r="AA54" s="25">
        <v>38515</v>
      </c>
      <c r="AB54" s="25">
        <v>80645</v>
      </c>
      <c r="AC54" s="25">
        <v>0</v>
      </c>
      <c r="AD54" s="25">
        <v>69405</v>
      </c>
      <c r="AE54" s="25">
        <v>4122</v>
      </c>
      <c r="AF54" s="25">
        <v>1962</v>
      </c>
      <c r="AG54" s="25">
        <v>5258</v>
      </c>
      <c r="AH54" s="25">
        <v>1025</v>
      </c>
      <c r="AI54" s="25">
        <v>15384</v>
      </c>
      <c r="AJ54" s="25">
        <v>5034</v>
      </c>
      <c r="AK54" s="25">
        <v>399</v>
      </c>
      <c r="AL54" s="25">
        <v>1916</v>
      </c>
      <c r="AM54" s="25">
        <v>16435</v>
      </c>
      <c r="AN54" s="25">
        <v>15304</v>
      </c>
      <c r="AO54" s="25">
        <v>5461</v>
      </c>
      <c r="AP54" s="25">
        <v>59840</v>
      </c>
      <c r="AQ54" s="25">
        <v>10870</v>
      </c>
      <c r="AR54" s="25">
        <v>0</v>
      </c>
      <c r="AS54" s="25">
        <v>5543</v>
      </c>
      <c r="AT54" s="25">
        <v>6323</v>
      </c>
      <c r="AU54" s="25">
        <v>7952</v>
      </c>
      <c r="AV54" s="25">
        <v>80078</v>
      </c>
      <c r="AW54" s="25">
        <v>20716</v>
      </c>
      <c r="AX54" s="25">
        <v>37990</v>
      </c>
      <c r="AY54" s="25">
        <v>22525</v>
      </c>
      <c r="AZ54" s="25">
        <v>0</v>
      </c>
      <c r="BA54" s="25">
        <v>65788</v>
      </c>
      <c r="BB54" s="25">
        <v>0</v>
      </c>
      <c r="BC54" s="25">
        <v>0</v>
      </c>
      <c r="BD54" s="25">
        <v>6780</v>
      </c>
      <c r="BE54" s="25">
        <v>0</v>
      </c>
      <c r="BF54" s="25">
        <v>65788</v>
      </c>
      <c r="BG54" s="18">
        <v>5000</v>
      </c>
      <c r="BH54" s="18">
        <v>0</v>
      </c>
      <c r="BI54" s="25">
        <v>39028</v>
      </c>
      <c r="BJ54" s="25">
        <v>0</v>
      </c>
      <c r="BK54" s="25">
        <v>33539</v>
      </c>
    </row>
    <row r="55" spans="1:63">
      <c r="A55" s="18">
        <v>2044</v>
      </c>
      <c r="B55" s="18" t="s">
        <v>76</v>
      </c>
      <c r="C55" s="25">
        <v>127797.12</v>
      </c>
      <c r="D55" s="25">
        <v>0</v>
      </c>
      <c r="E55" s="25">
        <v>-0.06</v>
      </c>
      <c r="F55" s="25">
        <f t="shared" si="0"/>
        <v>127797.06</v>
      </c>
      <c r="G55" s="25">
        <v>1443833</v>
      </c>
      <c r="H55" s="25">
        <v>0</v>
      </c>
      <c r="I55" s="25">
        <v>171849</v>
      </c>
      <c r="J55" s="25">
        <v>0</v>
      </c>
      <c r="K55" s="25">
        <v>83100</v>
      </c>
      <c r="L55" s="25">
        <v>2915</v>
      </c>
      <c r="M55" s="25">
        <v>10808</v>
      </c>
      <c r="N55" s="25">
        <v>39946</v>
      </c>
      <c r="O55" s="25">
        <v>28301</v>
      </c>
      <c r="P55" s="25">
        <v>18536</v>
      </c>
      <c r="Q55" s="25">
        <v>0</v>
      </c>
      <c r="R55" s="25">
        <v>12877</v>
      </c>
      <c r="S55" s="25">
        <v>25184</v>
      </c>
      <c r="T55" s="25">
        <v>0</v>
      </c>
      <c r="U55" s="25">
        <v>0</v>
      </c>
      <c r="V55" s="25">
        <v>0</v>
      </c>
      <c r="W55" s="25">
        <v>73052</v>
      </c>
      <c r="X55" s="25">
        <v>809046</v>
      </c>
      <c r="Y55" s="25">
        <v>350</v>
      </c>
      <c r="Z55" s="25">
        <v>385704</v>
      </c>
      <c r="AA55" s="25">
        <v>39081</v>
      </c>
      <c r="AB55" s="25">
        <v>92316</v>
      </c>
      <c r="AC55" s="25">
        <v>0</v>
      </c>
      <c r="AD55" s="25">
        <v>61581</v>
      </c>
      <c r="AE55" s="25">
        <v>39834</v>
      </c>
      <c r="AF55" s="25">
        <v>5405</v>
      </c>
      <c r="AG55" s="25">
        <v>10623</v>
      </c>
      <c r="AH55" s="25">
        <v>5148</v>
      </c>
      <c r="AI55" s="25">
        <v>61091</v>
      </c>
      <c r="AJ55" s="25">
        <v>4731</v>
      </c>
      <c r="AK55" s="25">
        <v>33756</v>
      </c>
      <c r="AL55" s="25">
        <v>4692</v>
      </c>
      <c r="AM55" s="25">
        <v>28174</v>
      </c>
      <c r="AN55" s="25">
        <v>12291</v>
      </c>
      <c r="AO55" s="25">
        <v>12447</v>
      </c>
      <c r="AP55" s="25">
        <v>97429</v>
      </c>
      <c r="AQ55" s="25">
        <v>13246</v>
      </c>
      <c r="AR55" s="25">
        <v>0</v>
      </c>
      <c r="AS55" s="25">
        <v>18531</v>
      </c>
      <c r="AT55" s="25">
        <v>8162</v>
      </c>
      <c r="AU55" s="25">
        <v>568</v>
      </c>
      <c r="AV55" s="25">
        <v>100053</v>
      </c>
      <c r="AW55" s="25">
        <v>32797</v>
      </c>
      <c r="AX55" s="25">
        <v>37896</v>
      </c>
      <c r="AY55" s="25">
        <v>19995</v>
      </c>
      <c r="AZ55" s="25">
        <v>0</v>
      </c>
      <c r="BA55" s="25">
        <v>40902</v>
      </c>
      <c r="BB55" s="25">
        <v>0</v>
      </c>
      <c r="BC55" s="25">
        <v>0</v>
      </c>
      <c r="BD55" s="25">
        <v>7408</v>
      </c>
      <c r="BE55" s="25">
        <v>0</v>
      </c>
      <c r="BF55" s="25">
        <v>40902</v>
      </c>
      <c r="BG55" s="18">
        <v>5000</v>
      </c>
      <c r="BH55" s="18">
        <v>0</v>
      </c>
      <c r="BI55" s="25">
        <v>17303</v>
      </c>
      <c r="BJ55" s="25">
        <v>0</v>
      </c>
      <c r="BK55" s="25">
        <v>31008</v>
      </c>
    </row>
    <row r="56" spans="1:63">
      <c r="A56" s="18">
        <v>2043</v>
      </c>
      <c r="B56" s="18" t="s">
        <v>77</v>
      </c>
      <c r="C56" s="25">
        <v>210846.4</v>
      </c>
      <c r="D56" s="25">
        <v>0</v>
      </c>
      <c r="E56" s="25">
        <v>-0.33</v>
      </c>
      <c r="F56" s="25">
        <f t="shared" si="0"/>
        <v>210846.07</v>
      </c>
      <c r="G56" s="25">
        <v>1599179</v>
      </c>
      <c r="H56" s="25">
        <v>0</v>
      </c>
      <c r="I56" s="25">
        <v>152211</v>
      </c>
      <c r="J56" s="25">
        <v>0</v>
      </c>
      <c r="K56" s="25">
        <v>113480</v>
      </c>
      <c r="L56" s="25">
        <v>2290</v>
      </c>
      <c r="M56" s="25">
        <v>300</v>
      </c>
      <c r="N56" s="25">
        <v>71977</v>
      </c>
      <c r="O56" s="25">
        <v>80013</v>
      </c>
      <c r="P56" s="25">
        <v>4506</v>
      </c>
      <c r="Q56" s="25">
        <v>2119</v>
      </c>
      <c r="R56" s="25">
        <v>68483</v>
      </c>
      <c r="S56" s="25">
        <v>17631</v>
      </c>
      <c r="T56" s="25">
        <v>0</v>
      </c>
      <c r="U56" s="25">
        <v>0</v>
      </c>
      <c r="V56" s="25">
        <v>0</v>
      </c>
      <c r="W56" s="25">
        <v>9615</v>
      </c>
      <c r="X56" s="25">
        <v>911037</v>
      </c>
      <c r="Y56" s="25">
        <v>5624</v>
      </c>
      <c r="Z56" s="25">
        <v>341215</v>
      </c>
      <c r="AA56" s="25">
        <v>54681</v>
      </c>
      <c r="AB56" s="25">
        <v>80881</v>
      </c>
      <c r="AC56" s="25">
        <v>0</v>
      </c>
      <c r="AD56" s="25">
        <v>44601</v>
      </c>
      <c r="AE56" s="25">
        <v>21430</v>
      </c>
      <c r="AF56" s="25">
        <v>6170</v>
      </c>
      <c r="AG56" s="25">
        <v>10487</v>
      </c>
      <c r="AH56" s="25">
        <v>6462</v>
      </c>
      <c r="AI56" s="25">
        <v>85414</v>
      </c>
      <c r="AJ56" s="25">
        <v>36691</v>
      </c>
      <c r="AK56" s="25">
        <v>39204</v>
      </c>
      <c r="AL56" s="25">
        <v>7354</v>
      </c>
      <c r="AM56" s="25">
        <v>24809</v>
      </c>
      <c r="AN56" s="25">
        <v>12291</v>
      </c>
      <c r="AO56" s="25">
        <v>8739</v>
      </c>
      <c r="AP56" s="25">
        <v>126285</v>
      </c>
      <c r="AQ56" s="25">
        <v>23635</v>
      </c>
      <c r="AR56" s="25">
        <v>0</v>
      </c>
      <c r="AS56" s="25">
        <v>15087</v>
      </c>
      <c r="AT56" s="25">
        <v>12684</v>
      </c>
      <c r="AU56" s="25">
        <v>517</v>
      </c>
      <c r="AV56" s="25">
        <v>84234</v>
      </c>
      <c r="AW56" s="25">
        <v>66113</v>
      </c>
      <c r="AX56" s="25">
        <v>30141</v>
      </c>
      <c r="AY56" s="25">
        <v>31583</v>
      </c>
      <c r="AZ56" s="25">
        <v>0</v>
      </c>
      <c r="BA56" s="25">
        <v>35471</v>
      </c>
      <c r="BB56" s="25">
        <v>-1</v>
      </c>
      <c r="BC56" s="25">
        <v>0</v>
      </c>
      <c r="BD56" s="25">
        <v>8365</v>
      </c>
      <c r="BE56" s="25">
        <v>0</v>
      </c>
      <c r="BF56" s="25">
        <v>35471</v>
      </c>
      <c r="BG56" s="18">
        <v>5000</v>
      </c>
      <c r="BH56" s="18">
        <v>0</v>
      </c>
      <c r="BI56" s="25">
        <v>28782</v>
      </c>
      <c r="BJ56" s="25">
        <v>9272</v>
      </c>
      <c r="BK56" s="25">
        <v>5783</v>
      </c>
    </row>
    <row r="57" spans="1:63">
      <c r="A57" s="18">
        <v>2045</v>
      </c>
      <c r="B57" s="18" t="s">
        <v>78</v>
      </c>
      <c r="C57" s="25">
        <v>326371.17</v>
      </c>
      <c r="D57" s="25">
        <v>0</v>
      </c>
      <c r="E57" s="25">
        <v>31715</v>
      </c>
      <c r="F57" s="25">
        <f t="shared" si="0"/>
        <v>358086.17</v>
      </c>
      <c r="G57" s="25">
        <v>1344796</v>
      </c>
      <c r="H57" s="25">
        <v>0</v>
      </c>
      <c r="I57" s="25">
        <v>37864</v>
      </c>
      <c r="J57" s="25">
        <v>0</v>
      </c>
      <c r="K57" s="25">
        <v>82600</v>
      </c>
      <c r="L57" s="25">
        <v>7769</v>
      </c>
      <c r="M57" s="25">
        <v>29397</v>
      </c>
      <c r="N57" s="25">
        <v>39694</v>
      </c>
      <c r="O57" s="25">
        <v>21193</v>
      </c>
      <c r="P57" s="25">
        <v>3185</v>
      </c>
      <c r="Q57" s="25">
        <v>0</v>
      </c>
      <c r="R57" s="25">
        <v>14981</v>
      </c>
      <c r="S57" s="25">
        <v>261</v>
      </c>
      <c r="T57" s="25">
        <v>0</v>
      </c>
      <c r="U57" s="25">
        <v>0</v>
      </c>
      <c r="V57" s="25">
        <v>0</v>
      </c>
      <c r="W57" s="25">
        <v>32452</v>
      </c>
      <c r="X57" s="25">
        <v>672556</v>
      </c>
      <c r="Y57" s="25">
        <v>10497</v>
      </c>
      <c r="Z57" s="25">
        <v>359167</v>
      </c>
      <c r="AA57" s="25">
        <v>25413</v>
      </c>
      <c r="AB57" s="25">
        <v>41748</v>
      </c>
      <c r="AC57" s="25">
        <v>0</v>
      </c>
      <c r="AD57" s="25">
        <v>40310</v>
      </c>
      <c r="AE57" s="25">
        <v>13320</v>
      </c>
      <c r="AF57" s="25">
        <v>17527</v>
      </c>
      <c r="AG57" s="25">
        <v>11880</v>
      </c>
      <c r="AH57" s="25">
        <v>1201</v>
      </c>
      <c r="AI57" s="25">
        <v>33108</v>
      </c>
      <c r="AJ57" s="25">
        <v>3532</v>
      </c>
      <c r="AK57" s="25">
        <v>17181</v>
      </c>
      <c r="AL57" s="25">
        <v>4523</v>
      </c>
      <c r="AM57" s="25">
        <v>21031</v>
      </c>
      <c r="AN57" s="25">
        <v>17714</v>
      </c>
      <c r="AO57" s="25">
        <v>7208</v>
      </c>
      <c r="AP57" s="25">
        <v>54601</v>
      </c>
      <c r="AQ57" s="25">
        <v>28809</v>
      </c>
      <c r="AR57" s="25">
        <v>0</v>
      </c>
      <c r="AS57" s="25">
        <v>4740</v>
      </c>
      <c r="AT57" s="25">
        <v>8866</v>
      </c>
      <c r="AU57" s="25">
        <v>15255</v>
      </c>
      <c r="AV57" s="25">
        <v>53591</v>
      </c>
      <c r="AW57" s="25">
        <v>21245</v>
      </c>
      <c r="AX57" s="25">
        <v>14409</v>
      </c>
      <c r="AY57" s="25">
        <v>42007</v>
      </c>
      <c r="AZ57" s="25">
        <v>0</v>
      </c>
      <c r="BA57" s="25">
        <v>0</v>
      </c>
      <c r="BB57" s="25">
        <v>0</v>
      </c>
      <c r="BC57" s="25">
        <v>0</v>
      </c>
      <c r="BD57" s="25">
        <v>6644</v>
      </c>
      <c r="BE57" s="25">
        <v>0</v>
      </c>
      <c r="BF57" s="25">
        <v>0</v>
      </c>
      <c r="BG57" s="18">
        <v>5000</v>
      </c>
      <c r="BH57" s="18">
        <v>0</v>
      </c>
      <c r="BI57" s="25">
        <v>0</v>
      </c>
      <c r="BJ57" s="25">
        <v>0</v>
      </c>
      <c r="BK57" s="25">
        <v>26107</v>
      </c>
    </row>
    <row r="58" spans="1:63">
      <c r="A58" s="18">
        <v>2077</v>
      </c>
      <c r="B58" s="18" t="s">
        <v>79</v>
      </c>
      <c r="C58" s="25">
        <v>349239.34</v>
      </c>
      <c r="D58" s="25">
        <v>0</v>
      </c>
      <c r="E58" s="25">
        <v>1</v>
      </c>
      <c r="F58" s="25">
        <f t="shared" si="0"/>
        <v>349240.34</v>
      </c>
      <c r="G58" s="25">
        <v>3010295</v>
      </c>
      <c r="H58" s="25">
        <v>0</v>
      </c>
      <c r="I58" s="25">
        <v>284927</v>
      </c>
      <c r="J58" s="25">
        <v>0</v>
      </c>
      <c r="K58" s="25">
        <v>412455</v>
      </c>
      <c r="L58" s="25">
        <v>2000</v>
      </c>
      <c r="M58" s="25">
        <v>180</v>
      </c>
      <c r="N58" s="25">
        <v>54280</v>
      </c>
      <c r="O58" s="25">
        <v>36745</v>
      </c>
      <c r="P58" s="25">
        <v>-2775</v>
      </c>
      <c r="Q58" s="25">
        <v>-100</v>
      </c>
      <c r="R58" s="25">
        <v>20101</v>
      </c>
      <c r="S58" s="25">
        <v>5856</v>
      </c>
      <c r="T58" s="25">
        <v>0</v>
      </c>
      <c r="U58" s="25">
        <v>0</v>
      </c>
      <c r="V58" s="25">
        <v>0</v>
      </c>
      <c r="W58" s="25">
        <v>53334</v>
      </c>
      <c r="X58" s="25">
        <v>1276316</v>
      </c>
      <c r="Y58" s="25">
        <v>0</v>
      </c>
      <c r="Z58" s="25">
        <v>861709</v>
      </c>
      <c r="AA58" s="25">
        <v>107935</v>
      </c>
      <c r="AB58" s="25">
        <v>134901</v>
      </c>
      <c r="AC58" s="25">
        <v>-1</v>
      </c>
      <c r="AD58" s="25">
        <v>116319</v>
      </c>
      <c r="AE58" s="25">
        <v>35012</v>
      </c>
      <c r="AF58" s="25">
        <v>20402</v>
      </c>
      <c r="AG58" s="25">
        <v>28228</v>
      </c>
      <c r="AH58" s="25">
        <v>2386</v>
      </c>
      <c r="AI58" s="25">
        <v>64426</v>
      </c>
      <c r="AJ58" s="25">
        <v>17762</v>
      </c>
      <c r="AK58" s="25">
        <v>29071</v>
      </c>
      <c r="AL58" s="25">
        <v>4613</v>
      </c>
      <c r="AM58" s="25">
        <v>38223</v>
      </c>
      <c r="AN58" s="25">
        <v>7910</v>
      </c>
      <c r="AO58" s="25">
        <v>26890</v>
      </c>
      <c r="AP58" s="25">
        <v>252111</v>
      </c>
      <c r="AQ58" s="25">
        <v>34542</v>
      </c>
      <c r="AR58" s="25">
        <v>0</v>
      </c>
      <c r="AS58" s="25">
        <v>79046</v>
      </c>
      <c r="AT58" s="25">
        <v>20871</v>
      </c>
      <c r="AU58" s="25">
        <v>65661</v>
      </c>
      <c r="AV58" s="25">
        <v>153939</v>
      </c>
      <c r="AW58" s="25">
        <v>300561</v>
      </c>
      <c r="AX58" s="25">
        <v>383901</v>
      </c>
      <c r="AY58" s="25">
        <v>101375</v>
      </c>
      <c r="AZ58" s="25">
        <v>0</v>
      </c>
      <c r="BA58" s="25">
        <v>22144</v>
      </c>
      <c r="BB58" s="25">
        <v>0</v>
      </c>
      <c r="BC58" s="25">
        <v>0</v>
      </c>
      <c r="BD58" s="25">
        <v>9760</v>
      </c>
      <c r="BE58" s="25">
        <v>0</v>
      </c>
      <c r="BF58" s="25">
        <v>22144</v>
      </c>
      <c r="BG58" s="18">
        <v>5000</v>
      </c>
      <c r="BH58" s="18">
        <v>0</v>
      </c>
      <c r="BI58" s="25">
        <v>18074</v>
      </c>
      <c r="BJ58" s="25">
        <v>0</v>
      </c>
      <c r="BK58" s="25">
        <v>13830</v>
      </c>
    </row>
    <row r="59" spans="1:63">
      <c r="A59" s="18">
        <v>5201</v>
      </c>
      <c r="B59" s="18" t="s">
        <v>80</v>
      </c>
      <c r="C59" s="25">
        <v>215909.73</v>
      </c>
      <c r="D59" s="25">
        <v>0</v>
      </c>
      <c r="E59" s="25">
        <v>14091.76</v>
      </c>
      <c r="F59" s="25">
        <f t="shared" si="0"/>
        <v>230001.49000000002</v>
      </c>
      <c r="G59" s="25">
        <v>1738690</v>
      </c>
      <c r="H59" s="25">
        <v>0</v>
      </c>
      <c r="I59" s="25">
        <v>72975</v>
      </c>
      <c r="J59" s="25">
        <v>0</v>
      </c>
      <c r="K59" s="25">
        <v>105600</v>
      </c>
      <c r="L59" s="25">
        <v>1500</v>
      </c>
      <c r="M59" s="25">
        <v>740</v>
      </c>
      <c r="N59" s="25">
        <v>129099</v>
      </c>
      <c r="O59" s="25">
        <v>61812</v>
      </c>
      <c r="P59" s="25">
        <v>36437</v>
      </c>
      <c r="Q59" s="25">
        <v>5803</v>
      </c>
      <c r="R59" s="25">
        <v>56689</v>
      </c>
      <c r="S59" s="25">
        <v>8572</v>
      </c>
      <c r="T59" s="25">
        <v>200</v>
      </c>
      <c r="U59" s="25">
        <v>0</v>
      </c>
      <c r="V59" s="25">
        <v>0</v>
      </c>
      <c r="W59" s="25">
        <v>45415</v>
      </c>
      <c r="X59" s="25">
        <v>886941</v>
      </c>
      <c r="Y59" s="25">
        <v>202</v>
      </c>
      <c r="Z59" s="25">
        <v>342037</v>
      </c>
      <c r="AA59" s="25">
        <v>73432</v>
      </c>
      <c r="AB59" s="25">
        <v>152762</v>
      </c>
      <c r="AC59" s="25">
        <v>79821</v>
      </c>
      <c r="AD59" s="25">
        <v>94171</v>
      </c>
      <c r="AE59" s="25">
        <v>8980</v>
      </c>
      <c r="AF59" s="25">
        <v>5780</v>
      </c>
      <c r="AG59" s="25">
        <v>12522</v>
      </c>
      <c r="AH59" s="25">
        <v>9610</v>
      </c>
      <c r="AI59" s="25">
        <v>55561</v>
      </c>
      <c r="AJ59" s="25">
        <v>8631</v>
      </c>
      <c r="AK59" s="25">
        <v>3765</v>
      </c>
      <c r="AL59" s="25">
        <v>3797</v>
      </c>
      <c r="AM59" s="25">
        <v>26073</v>
      </c>
      <c r="AN59" s="25">
        <v>0</v>
      </c>
      <c r="AO59" s="25">
        <v>13297</v>
      </c>
      <c r="AP59" s="25">
        <v>151561</v>
      </c>
      <c r="AQ59" s="25">
        <v>15720</v>
      </c>
      <c r="AR59" s="25">
        <v>0</v>
      </c>
      <c r="AS59" s="25">
        <v>10360</v>
      </c>
      <c r="AT59" s="25">
        <v>8938</v>
      </c>
      <c r="AU59" s="25">
        <v>10261</v>
      </c>
      <c r="AV59" s="25">
        <v>62189</v>
      </c>
      <c r="AW59" s="25">
        <v>92214</v>
      </c>
      <c r="AX59" s="25">
        <v>44858</v>
      </c>
      <c r="AY59" s="25">
        <v>28930</v>
      </c>
      <c r="AZ59" s="25">
        <v>0</v>
      </c>
      <c r="BA59" s="25">
        <v>23575</v>
      </c>
      <c r="BB59" s="25">
        <v>0</v>
      </c>
      <c r="BC59" s="25">
        <v>0</v>
      </c>
      <c r="BD59" s="25">
        <v>18724</v>
      </c>
      <c r="BE59" s="25">
        <v>0</v>
      </c>
      <c r="BF59" s="25">
        <v>23575</v>
      </c>
      <c r="BG59" s="18">
        <v>5000</v>
      </c>
      <c r="BH59" s="18">
        <v>0</v>
      </c>
      <c r="BI59" s="25">
        <v>37062</v>
      </c>
      <c r="BJ59" s="25">
        <v>0</v>
      </c>
      <c r="BK59" s="25">
        <v>9330</v>
      </c>
    </row>
    <row r="60" spans="1:63">
      <c r="A60" s="18">
        <v>3501</v>
      </c>
      <c r="B60" s="18" t="s">
        <v>81</v>
      </c>
      <c r="C60" s="25">
        <v>137177.51</v>
      </c>
      <c r="D60" s="25">
        <v>0</v>
      </c>
      <c r="E60" s="25">
        <v>-4998.97</v>
      </c>
      <c r="F60" s="25">
        <f t="shared" si="0"/>
        <v>132178.54</v>
      </c>
      <c r="G60" s="25">
        <v>1011317</v>
      </c>
      <c r="H60" s="25">
        <v>0</v>
      </c>
      <c r="I60" s="25">
        <v>40674</v>
      </c>
      <c r="J60" s="25">
        <v>0</v>
      </c>
      <c r="K60" s="25">
        <v>62758</v>
      </c>
      <c r="L60" s="25">
        <v>0</v>
      </c>
      <c r="M60" s="25">
        <v>6816</v>
      </c>
      <c r="N60" s="25">
        <v>23763</v>
      </c>
      <c r="O60" s="25">
        <v>34409</v>
      </c>
      <c r="P60" s="25">
        <v>7768</v>
      </c>
      <c r="Q60" s="25">
        <v>0</v>
      </c>
      <c r="R60" s="25">
        <v>31631</v>
      </c>
      <c r="S60" s="25">
        <v>36083</v>
      </c>
      <c r="T60" s="25">
        <v>0</v>
      </c>
      <c r="U60" s="25">
        <v>0</v>
      </c>
      <c r="V60" s="25">
        <v>0</v>
      </c>
      <c r="W60" s="25">
        <v>27283</v>
      </c>
      <c r="X60" s="25">
        <v>566447</v>
      </c>
      <c r="Y60" s="25">
        <v>922</v>
      </c>
      <c r="Z60" s="25">
        <v>211255</v>
      </c>
      <c r="AA60" s="25">
        <v>47818</v>
      </c>
      <c r="AB60" s="25">
        <v>47953</v>
      </c>
      <c r="AC60" s="25">
        <v>0</v>
      </c>
      <c r="AD60" s="25">
        <v>20566</v>
      </c>
      <c r="AE60" s="25">
        <v>8287</v>
      </c>
      <c r="AF60" s="25">
        <v>6972</v>
      </c>
      <c r="AG60" s="25">
        <v>8292</v>
      </c>
      <c r="AH60" s="25">
        <v>1029</v>
      </c>
      <c r="AI60" s="25">
        <v>65325</v>
      </c>
      <c r="AJ60" s="25">
        <v>1042</v>
      </c>
      <c r="AK60" s="25">
        <v>2859</v>
      </c>
      <c r="AL60" s="25">
        <v>2150</v>
      </c>
      <c r="AM60" s="25">
        <v>5079</v>
      </c>
      <c r="AN60" s="25">
        <v>0</v>
      </c>
      <c r="AO60" s="25">
        <v>6573</v>
      </c>
      <c r="AP60" s="25">
        <v>73269</v>
      </c>
      <c r="AQ60" s="25">
        <v>12245</v>
      </c>
      <c r="AR60" s="25">
        <v>0</v>
      </c>
      <c r="AS60" s="25">
        <v>23095</v>
      </c>
      <c r="AT60" s="25">
        <v>6607</v>
      </c>
      <c r="AU60" s="25">
        <v>8666</v>
      </c>
      <c r="AV60" s="25">
        <v>75240</v>
      </c>
      <c r="AW60" s="25">
        <v>50641</v>
      </c>
      <c r="AX60" s="25">
        <v>50479</v>
      </c>
      <c r="AY60" s="25">
        <v>29059</v>
      </c>
      <c r="AZ60" s="25">
        <v>0</v>
      </c>
      <c r="BA60" s="25">
        <v>21002</v>
      </c>
      <c r="BB60" s="25">
        <v>1</v>
      </c>
      <c r="BC60" s="25">
        <v>0</v>
      </c>
      <c r="BD60" s="25">
        <v>-2880</v>
      </c>
      <c r="BE60" s="25">
        <v>0</v>
      </c>
      <c r="BF60" s="25">
        <v>21002</v>
      </c>
      <c r="BG60" s="18">
        <v>5000</v>
      </c>
      <c r="BH60" s="18">
        <v>0</v>
      </c>
      <c r="BI60" s="25">
        <v>6240</v>
      </c>
      <c r="BJ60" s="25">
        <v>0</v>
      </c>
      <c r="BK60" s="25">
        <v>11882</v>
      </c>
    </row>
    <row r="61" spans="1:63">
      <c r="A61" s="18">
        <v>2078</v>
      </c>
      <c r="B61" s="18" t="s">
        <v>82</v>
      </c>
      <c r="C61" s="25">
        <v>23768.19</v>
      </c>
      <c r="D61" s="25">
        <v>0</v>
      </c>
      <c r="E61" s="25">
        <v>0</v>
      </c>
      <c r="F61" s="25">
        <f t="shared" si="0"/>
        <v>23768.19</v>
      </c>
      <c r="G61" s="25">
        <v>899457</v>
      </c>
      <c r="H61" s="25">
        <v>0</v>
      </c>
      <c r="I61" s="25">
        <v>6852</v>
      </c>
      <c r="J61" s="25">
        <v>0</v>
      </c>
      <c r="K61" s="25">
        <v>33680</v>
      </c>
      <c r="L61" s="25">
        <v>0</v>
      </c>
      <c r="M61" s="25">
        <v>5540</v>
      </c>
      <c r="N61" s="25">
        <v>10057</v>
      </c>
      <c r="O61" s="25">
        <v>15049</v>
      </c>
      <c r="P61" s="25">
        <v>8413</v>
      </c>
      <c r="Q61" s="25">
        <v>3927</v>
      </c>
      <c r="R61" s="25">
        <v>40780</v>
      </c>
      <c r="S61" s="25">
        <v>87523</v>
      </c>
      <c r="T61" s="25">
        <v>0</v>
      </c>
      <c r="U61" s="25">
        <v>0</v>
      </c>
      <c r="V61" s="25">
        <v>858</v>
      </c>
      <c r="W61" s="25">
        <v>31247</v>
      </c>
      <c r="X61" s="25">
        <v>541324</v>
      </c>
      <c r="Y61" s="25">
        <v>0</v>
      </c>
      <c r="Z61" s="25">
        <v>200512</v>
      </c>
      <c r="AA61" s="25">
        <v>24995</v>
      </c>
      <c r="AB61" s="25">
        <v>94669</v>
      </c>
      <c r="AC61" s="25">
        <v>0</v>
      </c>
      <c r="AD61" s="25">
        <v>18772</v>
      </c>
      <c r="AE61" s="25">
        <v>5504</v>
      </c>
      <c r="AF61" s="25">
        <v>6634</v>
      </c>
      <c r="AG61" s="25">
        <v>9231</v>
      </c>
      <c r="AH61" s="25">
        <v>0</v>
      </c>
      <c r="AI61" s="25">
        <v>18437</v>
      </c>
      <c r="AJ61" s="25">
        <v>0</v>
      </c>
      <c r="AK61" s="25">
        <v>25775</v>
      </c>
      <c r="AL61" s="25">
        <v>4068</v>
      </c>
      <c r="AM61" s="25">
        <v>16353</v>
      </c>
      <c r="AN61" s="25">
        <v>0</v>
      </c>
      <c r="AO61" s="25">
        <v>46508</v>
      </c>
      <c r="AP61" s="25">
        <v>80766</v>
      </c>
      <c r="AQ61" s="25">
        <v>4925</v>
      </c>
      <c r="AR61" s="25">
        <v>0</v>
      </c>
      <c r="AS61" s="25">
        <v>9566</v>
      </c>
      <c r="AT61" s="25">
        <v>0</v>
      </c>
      <c r="AU61" s="25">
        <v>7393</v>
      </c>
      <c r="AV61" s="25">
        <v>37571</v>
      </c>
      <c r="AW61" s="25">
        <v>16887</v>
      </c>
      <c r="AX61" s="25">
        <v>23612</v>
      </c>
      <c r="AY61" s="25">
        <v>19178</v>
      </c>
      <c r="AZ61" s="25">
        <v>0</v>
      </c>
      <c r="BA61" s="25">
        <v>0</v>
      </c>
      <c r="BB61" s="25">
        <v>0</v>
      </c>
      <c r="BC61" s="25">
        <v>0</v>
      </c>
      <c r="BD61" s="25">
        <v>0</v>
      </c>
      <c r="BE61" s="25">
        <v>0</v>
      </c>
      <c r="BF61" s="25">
        <v>0</v>
      </c>
      <c r="BG61" s="18">
        <v>5000</v>
      </c>
      <c r="BH61" s="18">
        <v>0</v>
      </c>
      <c r="BI61" s="25">
        <v>0</v>
      </c>
      <c r="BJ61" s="25">
        <v>0</v>
      </c>
      <c r="BK61" s="25">
        <v>0</v>
      </c>
    </row>
    <row r="62" spans="1:63">
      <c r="A62" s="18">
        <v>2071</v>
      </c>
      <c r="B62" s="18" t="s">
        <v>83</v>
      </c>
      <c r="C62" s="25">
        <v>25031.86</v>
      </c>
      <c r="D62" s="25">
        <v>0</v>
      </c>
      <c r="E62" s="25">
        <v>-0.28000000000000003</v>
      </c>
      <c r="F62" s="25">
        <f t="shared" si="0"/>
        <v>25031.58</v>
      </c>
      <c r="G62" s="25">
        <v>1545846</v>
      </c>
      <c r="H62" s="25">
        <v>0</v>
      </c>
      <c r="I62" s="25">
        <v>66221</v>
      </c>
      <c r="J62" s="25">
        <v>0</v>
      </c>
      <c r="K62" s="25">
        <v>135257</v>
      </c>
      <c r="L62" s="25">
        <v>9700</v>
      </c>
      <c r="M62" s="25">
        <v>5637</v>
      </c>
      <c r="N62" s="25">
        <v>38044</v>
      </c>
      <c r="O62" s="25">
        <v>17635</v>
      </c>
      <c r="P62" s="25">
        <v>6584</v>
      </c>
      <c r="Q62" s="25">
        <v>2406</v>
      </c>
      <c r="R62" s="25">
        <v>7406</v>
      </c>
      <c r="S62" s="25">
        <v>2254</v>
      </c>
      <c r="T62" s="25">
        <v>0</v>
      </c>
      <c r="U62" s="25">
        <v>0</v>
      </c>
      <c r="V62" s="25">
        <v>0</v>
      </c>
      <c r="W62" s="25">
        <v>55735</v>
      </c>
      <c r="X62" s="25">
        <v>656357</v>
      </c>
      <c r="Y62" s="25">
        <v>0</v>
      </c>
      <c r="Z62" s="25">
        <v>574170</v>
      </c>
      <c r="AA62" s="25">
        <v>24459</v>
      </c>
      <c r="AB62" s="25">
        <v>99530</v>
      </c>
      <c r="AC62" s="25">
        <v>0</v>
      </c>
      <c r="AD62" s="25">
        <v>14886</v>
      </c>
      <c r="AE62" s="25">
        <v>6562</v>
      </c>
      <c r="AF62" s="25">
        <v>13471</v>
      </c>
      <c r="AG62" s="25">
        <v>9306</v>
      </c>
      <c r="AH62" s="25">
        <v>8861</v>
      </c>
      <c r="AI62" s="25">
        <v>22102</v>
      </c>
      <c r="AJ62" s="25">
        <v>15141</v>
      </c>
      <c r="AK62" s="25">
        <v>32807</v>
      </c>
      <c r="AL62" s="25">
        <v>3877</v>
      </c>
      <c r="AM62" s="25">
        <v>20945</v>
      </c>
      <c r="AN62" s="25">
        <v>19039</v>
      </c>
      <c r="AO62" s="25">
        <v>3505</v>
      </c>
      <c r="AP62" s="25">
        <v>51572</v>
      </c>
      <c r="AQ62" s="25">
        <v>18257</v>
      </c>
      <c r="AR62" s="25">
        <v>0</v>
      </c>
      <c r="AS62" s="25">
        <v>9856</v>
      </c>
      <c r="AT62" s="25">
        <v>5551</v>
      </c>
      <c r="AU62" s="25">
        <v>5742</v>
      </c>
      <c r="AV62" s="25">
        <v>90520</v>
      </c>
      <c r="AW62" s="25">
        <v>41472</v>
      </c>
      <c r="AX62" s="25">
        <v>94955</v>
      </c>
      <c r="AY62" s="25">
        <v>12361</v>
      </c>
      <c r="AZ62" s="25">
        <v>0</v>
      </c>
      <c r="BA62" s="25">
        <v>1577</v>
      </c>
      <c r="BB62" s="25">
        <v>-1</v>
      </c>
      <c r="BC62" s="25">
        <v>0</v>
      </c>
      <c r="BD62" s="25">
        <v>7764</v>
      </c>
      <c r="BE62" s="25">
        <v>0</v>
      </c>
      <c r="BF62" s="25">
        <v>1577</v>
      </c>
      <c r="BG62" s="18">
        <v>5000</v>
      </c>
      <c r="BH62" s="18">
        <v>0</v>
      </c>
      <c r="BI62" s="25">
        <v>0</v>
      </c>
      <c r="BJ62" s="25">
        <v>0</v>
      </c>
      <c r="BK62" s="25">
        <v>9340</v>
      </c>
    </row>
    <row r="63" spans="1:63">
      <c r="A63" s="18">
        <v>2072</v>
      </c>
      <c r="B63" s="18" t="s">
        <v>84</v>
      </c>
      <c r="C63" s="25">
        <v>55704.41</v>
      </c>
      <c r="D63" s="25">
        <v>0</v>
      </c>
      <c r="E63" s="25">
        <v>7353.35</v>
      </c>
      <c r="F63" s="25">
        <f t="shared" si="0"/>
        <v>63057.760000000002</v>
      </c>
      <c r="G63" s="25">
        <v>1447854</v>
      </c>
      <c r="H63" s="25">
        <v>0</v>
      </c>
      <c r="I63" s="25">
        <v>67584</v>
      </c>
      <c r="J63" s="25">
        <v>0</v>
      </c>
      <c r="K63" s="25">
        <v>209067</v>
      </c>
      <c r="L63" s="25">
        <v>6650</v>
      </c>
      <c r="M63" s="25">
        <v>9758</v>
      </c>
      <c r="N63" s="25">
        <v>469</v>
      </c>
      <c r="O63" s="25">
        <v>45734</v>
      </c>
      <c r="P63" s="25">
        <v>780</v>
      </c>
      <c r="Q63" s="25">
        <v>581</v>
      </c>
      <c r="R63" s="25">
        <v>37389</v>
      </c>
      <c r="S63" s="25">
        <v>500</v>
      </c>
      <c r="T63" s="25">
        <v>0</v>
      </c>
      <c r="U63" s="25">
        <v>0</v>
      </c>
      <c r="V63" s="25">
        <v>0</v>
      </c>
      <c r="W63" s="25">
        <v>9307</v>
      </c>
      <c r="X63" s="25">
        <v>817833</v>
      </c>
      <c r="Y63" s="25">
        <v>4400</v>
      </c>
      <c r="Z63" s="25">
        <v>465455</v>
      </c>
      <c r="AA63" s="25">
        <v>24368</v>
      </c>
      <c r="AB63" s="25">
        <v>55172</v>
      </c>
      <c r="AC63" s="25">
        <v>0</v>
      </c>
      <c r="AD63" s="25">
        <v>16797</v>
      </c>
      <c r="AE63" s="25">
        <v>11677</v>
      </c>
      <c r="AF63" s="25">
        <v>7252</v>
      </c>
      <c r="AG63" s="25">
        <v>5738</v>
      </c>
      <c r="AH63" s="25">
        <v>4478</v>
      </c>
      <c r="AI63" s="25">
        <v>24241</v>
      </c>
      <c r="AJ63" s="25">
        <v>15612</v>
      </c>
      <c r="AK63" s="25">
        <v>21415</v>
      </c>
      <c r="AL63" s="25">
        <v>4094</v>
      </c>
      <c r="AM63" s="25">
        <v>15467</v>
      </c>
      <c r="AN63" s="25">
        <v>10480</v>
      </c>
      <c r="AO63" s="25">
        <v>8315</v>
      </c>
      <c r="AP63" s="25">
        <v>85847</v>
      </c>
      <c r="AQ63" s="25">
        <v>14510</v>
      </c>
      <c r="AR63" s="25">
        <v>0</v>
      </c>
      <c r="AS63" s="25">
        <v>14195</v>
      </c>
      <c r="AT63" s="25">
        <v>5751</v>
      </c>
      <c r="AU63" s="25">
        <v>233</v>
      </c>
      <c r="AV63" s="25">
        <v>74055</v>
      </c>
      <c r="AW63" s="25">
        <v>3721</v>
      </c>
      <c r="AX63" s="25">
        <v>52227</v>
      </c>
      <c r="AY63" s="25">
        <v>43265</v>
      </c>
      <c r="AZ63" s="25">
        <v>0</v>
      </c>
      <c r="BA63" s="25">
        <v>11094</v>
      </c>
      <c r="BB63" s="25">
        <v>0</v>
      </c>
      <c r="BC63" s="25">
        <v>0</v>
      </c>
      <c r="BD63" s="25">
        <v>7512</v>
      </c>
      <c r="BE63" s="25">
        <v>0</v>
      </c>
      <c r="BF63" s="25">
        <v>11094</v>
      </c>
      <c r="BG63" s="18">
        <v>5000</v>
      </c>
      <c r="BH63" s="18">
        <v>0</v>
      </c>
      <c r="BI63" s="25">
        <v>0</v>
      </c>
      <c r="BJ63" s="25">
        <v>0</v>
      </c>
      <c r="BK63" s="25">
        <v>25957</v>
      </c>
    </row>
    <row r="64" spans="1:63">
      <c r="A64" s="18">
        <v>3512</v>
      </c>
      <c r="B64" s="18" t="s">
        <v>85</v>
      </c>
      <c r="C64" s="25">
        <v>60537.279999999999</v>
      </c>
      <c r="D64" s="25">
        <v>0</v>
      </c>
      <c r="E64" s="25">
        <v>0</v>
      </c>
      <c r="F64" s="25">
        <f t="shared" si="0"/>
        <v>60537.279999999999</v>
      </c>
      <c r="G64" s="25">
        <v>1730691</v>
      </c>
      <c r="H64" s="25">
        <v>0</v>
      </c>
      <c r="I64" s="25">
        <v>58381</v>
      </c>
      <c r="J64" s="25">
        <v>0</v>
      </c>
      <c r="K64" s="25">
        <v>24700</v>
      </c>
      <c r="L64" s="25">
        <v>0</v>
      </c>
      <c r="M64" s="25">
        <v>0</v>
      </c>
      <c r="N64" s="25">
        <v>242314</v>
      </c>
      <c r="O64" s="25">
        <v>157407</v>
      </c>
      <c r="P64" s="25">
        <v>6907</v>
      </c>
      <c r="Q64" s="25">
        <v>6315</v>
      </c>
      <c r="R64" s="25">
        <v>42219</v>
      </c>
      <c r="S64" s="25">
        <v>17011</v>
      </c>
      <c r="T64" s="25">
        <v>0</v>
      </c>
      <c r="U64" s="25">
        <v>0</v>
      </c>
      <c r="V64" s="25">
        <v>0</v>
      </c>
      <c r="W64" s="25">
        <v>49687</v>
      </c>
      <c r="X64" s="25">
        <v>987137</v>
      </c>
      <c r="Y64" s="25">
        <v>26414</v>
      </c>
      <c r="Z64" s="25">
        <v>461060</v>
      </c>
      <c r="AA64" s="25">
        <v>55990</v>
      </c>
      <c r="AB64" s="25">
        <v>129623</v>
      </c>
      <c r="AC64" s="25">
        <v>0</v>
      </c>
      <c r="AD64" s="25">
        <v>40576</v>
      </c>
      <c r="AE64" s="25">
        <v>8435</v>
      </c>
      <c r="AF64" s="25">
        <v>16235</v>
      </c>
      <c r="AG64" s="25">
        <v>17299</v>
      </c>
      <c r="AH64" s="25">
        <v>0</v>
      </c>
      <c r="AI64" s="25">
        <v>10798</v>
      </c>
      <c r="AJ64" s="25">
        <v>3886</v>
      </c>
      <c r="AK64" s="25">
        <v>35611</v>
      </c>
      <c r="AL64" s="25">
        <v>2789</v>
      </c>
      <c r="AM64" s="25">
        <v>16293</v>
      </c>
      <c r="AN64" s="25">
        <v>0</v>
      </c>
      <c r="AO64" s="25">
        <v>21483</v>
      </c>
      <c r="AP64" s="25">
        <v>83624</v>
      </c>
      <c r="AQ64" s="25">
        <v>20693</v>
      </c>
      <c r="AR64" s="25">
        <v>0</v>
      </c>
      <c r="AS64" s="25">
        <v>41380</v>
      </c>
      <c r="AT64" s="25">
        <v>26498</v>
      </c>
      <c r="AU64" s="25">
        <v>14174</v>
      </c>
      <c r="AV64" s="25">
        <v>134342</v>
      </c>
      <c r="AW64" s="25">
        <v>55131</v>
      </c>
      <c r="AX64" s="25">
        <v>32164</v>
      </c>
      <c r="AY64" s="25">
        <v>161784</v>
      </c>
      <c r="AZ64" s="25">
        <v>0</v>
      </c>
      <c r="BA64" s="25">
        <v>0</v>
      </c>
      <c r="BB64" s="25">
        <v>0</v>
      </c>
      <c r="BC64" s="25">
        <v>0</v>
      </c>
      <c r="BD64" s="25">
        <v>0</v>
      </c>
      <c r="BE64" s="25">
        <v>0</v>
      </c>
      <c r="BF64" s="25">
        <v>0</v>
      </c>
      <c r="BG64" s="18">
        <v>5000</v>
      </c>
      <c r="BH64" s="18">
        <v>0</v>
      </c>
      <c r="BI64" s="25">
        <v>0</v>
      </c>
      <c r="BJ64" s="25">
        <v>0</v>
      </c>
      <c r="BK64" s="25">
        <v>0</v>
      </c>
    </row>
    <row r="65" spans="1:63">
      <c r="A65" s="18">
        <v>2041</v>
      </c>
      <c r="B65" s="21" t="s">
        <v>321</v>
      </c>
      <c r="C65" s="25">
        <v>-7542.49</v>
      </c>
      <c r="D65" s="25">
        <v>0</v>
      </c>
      <c r="E65" s="25">
        <v>1</v>
      </c>
      <c r="F65" s="25">
        <f t="shared" si="0"/>
        <v>-7541.49</v>
      </c>
      <c r="G65" s="25">
        <v>686794</v>
      </c>
      <c r="H65" s="25">
        <v>0</v>
      </c>
      <c r="I65" s="25">
        <v>0</v>
      </c>
      <c r="J65" s="25">
        <v>0</v>
      </c>
      <c r="K65" s="25">
        <v>3969</v>
      </c>
      <c r="L65" s="25">
        <v>0</v>
      </c>
      <c r="M65" s="25">
        <v>3136</v>
      </c>
      <c r="N65" s="25">
        <v>2584</v>
      </c>
      <c r="O65" s="25">
        <v>38368</v>
      </c>
      <c r="P65" s="25">
        <v>0</v>
      </c>
      <c r="Q65" s="25">
        <v>480</v>
      </c>
      <c r="R65" s="25">
        <v>1310</v>
      </c>
      <c r="S65" s="25">
        <v>16069</v>
      </c>
      <c r="T65" s="25">
        <v>0</v>
      </c>
      <c r="U65" s="25">
        <v>0</v>
      </c>
      <c r="V65" s="25">
        <v>0</v>
      </c>
      <c r="W65" s="25">
        <v>33000</v>
      </c>
      <c r="X65" s="25">
        <v>379289</v>
      </c>
      <c r="Y65" s="25">
        <v>0</v>
      </c>
      <c r="Z65" s="25">
        <v>58721</v>
      </c>
      <c r="AA65" s="25">
        <v>13876</v>
      </c>
      <c r="AB65" s="25">
        <v>41471</v>
      </c>
      <c r="AC65" s="25">
        <v>0</v>
      </c>
      <c r="AD65" s="25">
        <v>9340</v>
      </c>
      <c r="AE65" s="25">
        <v>9696</v>
      </c>
      <c r="AF65" s="25">
        <v>4419</v>
      </c>
      <c r="AG65" s="25">
        <v>12008</v>
      </c>
      <c r="AH65" s="25">
        <v>260</v>
      </c>
      <c r="AI65" s="25">
        <v>8919</v>
      </c>
      <c r="AJ65" s="25">
        <v>0</v>
      </c>
      <c r="AK65" s="25">
        <v>18318</v>
      </c>
      <c r="AL65" s="25">
        <v>2088</v>
      </c>
      <c r="AM65" s="25">
        <v>7562</v>
      </c>
      <c r="AN65" s="25">
        <v>0</v>
      </c>
      <c r="AO65" s="25">
        <v>2414</v>
      </c>
      <c r="AP65" s="25">
        <v>33129</v>
      </c>
      <c r="AQ65" s="25">
        <v>9698</v>
      </c>
      <c r="AR65" s="25">
        <v>0</v>
      </c>
      <c r="AS65" s="25">
        <v>9638</v>
      </c>
      <c r="AT65" s="25">
        <v>6667</v>
      </c>
      <c r="AU65" s="25">
        <v>349</v>
      </c>
      <c r="AV65" s="25">
        <v>57206</v>
      </c>
      <c r="AW65" s="25">
        <v>20761</v>
      </c>
      <c r="AX65" s="25">
        <v>14238</v>
      </c>
      <c r="AY65" s="25">
        <v>20782</v>
      </c>
      <c r="AZ65" s="25">
        <v>0</v>
      </c>
      <c r="BA65" s="25">
        <v>12599</v>
      </c>
      <c r="BB65" s="25">
        <v>0</v>
      </c>
      <c r="BC65" s="25">
        <v>0</v>
      </c>
      <c r="BD65" s="25">
        <v>-11519</v>
      </c>
      <c r="BE65" s="25">
        <v>5000</v>
      </c>
      <c r="BF65" s="25">
        <v>12599</v>
      </c>
      <c r="BG65" s="18">
        <v>5000</v>
      </c>
      <c r="BH65" s="18">
        <v>0</v>
      </c>
      <c r="BI65" s="25">
        <v>0</v>
      </c>
      <c r="BJ65" s="25">
        <v>0</v>
      </c>
      <c r="BK65" s="25">
        <v>6080</v>
      </c>
    </row>
    <row r="66" spans="1:63">
      <c r="A66" s="18">
        <v>3510</v>
      </c>
      <c r="B66" s="18" t="s">
        <v>86</v>
      </c>
      <c r="C66" s="25">
        <v>187467.48</v>
      </c>
      <c r="D66" s="25">
        <v>0</v>
      </c>
      <c r="E66" s="25">
        <v>-0.3</v>
      </c>
      <c r="F66" s="25">
        <f t="shared" si="0"/>
        <v>187467.18000000002</v>
      </c>
      <c r="G66" s="25">
        <v>1597593</v>
      </c>
      <c r="H66" s="25">
        <v>0</v>
      </c>
      <c r="I66" s="25">
        <v>60481</v>
      </c>
      <c r="J66" s="25">
        <v>0</v>
      </c>
      <c r="K66" s="25">
        <v>55900</v>
      </c>
      <c r="L66" s="25">
        <v>19000</v>
      </c>
      <c r="M66" s="25">
        <v>3951</v>
      </c>
      <c r="N66" s="25">
        <v>40110</v>
      </c>
      <c r="O66" s="25">
        <v>68698</v>
      </c>
      <c r="P66" s="25">
        <v>263</v>
      </c>
      <c r="Q66" s="25">
        <v>6004</v>
      </c>
      <c r="R66" s="25">
        <v>51005</v>
      </c>
      <c r="S66" s="25">
        <v>4646</v>
      </c>
      <c r="T66" s="25">
        <v>0</v>
      </c>
      <c r="U66" s="25">
        <v>0</v>
      </c>
      <c r="V66" s="25">
        <v>0</v>
      </c>
      <c r="W66" s="25">
        <v>46752</v>
      </c>
      <c r="X66" s="25">
        <v>965075</v>
      </c>
      <c r="Y66" s="25">
        <v>27418</v>
      </c>
      <c r="Z66" s="25">
        <v>307896</v>
      </c>
      <c r="AA66" s="25">
        <v>31584</v>
      </c>
      <c r="AB66" s="25">
        <v>77777</v>
      </c>
      <c r="AC66" s="25">
        <v>0</v>
      </c>
      <c r="AD66" s="25">
        <v>1698</v>
      </c>
      <c r="AE66" s="25">
        <v>14082</v>
      </c>
      <c r="AF66" s="25">
        <v>10176</v>
      </c>
      <c r="AG66" s="25">
        <v>26140</v>
      </c>
      <c r="AH66" s="25">
        <v>-429</v>
      </c>
      <c r="AI66" s="25">
        <v>28652</v>
      </c>
      <c r="AJ66" s="25">
        <v>2824</v>
      </c>
      <c r="AK66" s="25">
        <v>25501</v>
      </c>
      <c r="AL66" s="25">
        <v>2923</v>
      </c>
      <c r="AM66" s="25">
        <v>27652</v>
      </c>
      <c r="AN66" s="25">
        <v>0</v>
      </c>
      <c r="AO66" s="25">
        <v>8035</v>
      </c>
      <c r="AP66" s="25">
        <v>82230</v>
      </c>
      <c r="AQ66" s="25">
        <v>16123</v>
      </c>
      <c r="AR66" s="25">
        <v>0</v>
      </c>
      <c r="AS66" s="25">
        <v>15618</v>
      </c>
      <c r="AT66" s="25">
        <v>13950</v>
      </c>
      <c r="AU66" s="25">
        <v>1406</v>
      </c>
      <c r="AV66" s="25">
        <v>125187</v>
      </c>
      <c r="AW66" s="25">
        <v>14661</v>
      </c>
      <c r="AX66" s="25">
        <v>76494</v>
      </c>
      <c r="AY66" s="25">
        <v>39126</v>
      </c>
      <c r="AZ66" s="25">
        <v>0</v>
      </c>
      <c r="BA66" s="25">
        <v>80149</v>
      </c>
      <c r="BB66" s="25">
        <v>0</v>
      </c>
      <c r="BC66" s="25">
        <v>0</v>
      </c>
      <c r="BD66" s="25">
        <v>0</v>
      </c>
      <c r="BE66" s="25">
        <v>8000</v>
      </c>
      <c r="BF66" s="25">
        <v>80149</v>
      </c>
      <c r="BG66" s="18">
        <v>5000</v>
      </c>
      <c r="BH66" s="18">
        <v>0</v>
      </c>
      <c r="BI66" s="25">
        <v>58400</v>
      </c>
      <c r="BJ66" s="25">
        <v>0</v>
      </c>
      <c r="BK66" s="25">
        <v>29749</v>
      </c>
    </row>
    <row r="67" spans="1:63">
      <c r="A67" s="18">
        <v>3502</v>
      </c>
      <c r="B67" s="18" t="s">
        <v>87</v>
      </c>
      <c r="C67" s="25">
        <v>98540.5</v>
      </c>
      <c r="D67" s="25">
        <v>0</v>
      </c>
      <c r="E67" s="25">
        <v>0.73</v>
      </c>
      <c r="F67" s="25">
        <f t="shared" si="0"/>
        <v>98541.23</v>
      </c>
      <c r="G67" s="25">
        <v>1428766</v>
      </c>
      <c r="H67" s="25">
        <v>0</v>
      </c>
      <c r="I67" s="25">
        <v>32765</v>
      </c>
      <c r="J67" s="25">
        <v>0</v>
      </c>
      <c r="K67" s="25">
        <v>81100</v>
      </c>
      <c r="L67" s="25">
        <v>1250</v>
      </c>
      <c r="M67" s="25">
        <v>6971</v>
      </c>
      <c r="N67" s="25">
        <v>50107</v>
      </c>
      <c r="O67" s="25">
        <v>44077</v>
      </c>
      <c r="P67" s="25">
        <v>26490</v>
      </c>
      <c r="Q67" s="25">
        <v>0</v>
      </c>
      <c r="R67" s="25">
        <v>35630</v>
      </c>
      <c r="S67" s="25">
        <v>6243</v>
      </c>
      <c r="T67" s="25">
        <v>0</v>
      </c>
      <c r="U67" s="25">
        <v>0</v>
      </c>
      <c r="V67" s="25">
        <v>0</v>
      </c>
      <c r="W67" s="25">
        <v>35184</v>
      </c>
      <c r="X67" s="25">
        <v>693753</v>
      </c>
      <c r="Y67" s="25">
        <v>0</v>
      </c>
      <c r="Z67" s="25">
        <v>325827</v>
      </c>
      <c r="AA67" s="25">
        <v>45682</v>
      </c>
      <c r="AB67" s="25">
        <v>64657</v>
      </c>
      <c r="AC67" s="25">
        <v>0</v>
      </c>
      <c r="AD67" s="25">
        <v>32363</v>
      </c>
      <c r="AE67" s="25">
        <v>9602</v>
      </c>
      <c r="AF67" s="25">
        <v>5853</v>
      </c>
      <c r="AG67" s="25">
        <v>15406</v>
      </c>
      <c r="AH67" s="25">
        <v>1457</v>
      </c>
      <c r="AI67" s="25">
        <v>32291</v>
      </c>
      <c r="AJ67" s="25">
        <v>2898</v>
      </c>
      <c r="AK67" s="25">
        <v>2496</v>
      </c>
      <c r="AL67" s="25">
        <v>1647</v>
      </c>
      <c r="AM67" s="25">
        <v>21226</v>
      </c>
      <c r="AN67" s="25">
        <v>0</v>
      </c>
      <c r="AO67" s="25">
        <v>11860</v>
      </c>
      <c r="AP67" s="25">
        <v>82050</v>
      </c>
      <c r="AQ67" s="25">
        <v>23527</v>
      </c>
      <c r="AR67" s="25">
        <v>0</v>
      </c>
      <c r="AS67" s="25">
        <v>24863</v>
      </c>
      <c r="AT67" s="25">
        <v>9433</v>
      </c>
      <c r="AU67" s="25">
        <v>20299</v>
      </c>
      <c r="AV67" s="25">
        <v>84000</v>
      </c>
      <c r="AW67" s="25">
        <v>49706</v>
      </c>
      <c r="AX67" s="25">
        <v>66897</v>
      </c>
      <c r="AY67" s="25">
        <v>37533</v>
      </c>
      <c r="AZ67" s="25">
        <v>0</v>
      </c>
      <c r="BA67" s="25">
        <v>0</v>
      </c>
      <c r="BB67" s="25">
        <v>1</v>
      </c>
      <c r="BC67" s="25">
        <v>0</v>
      </c>
      <c r="BD67" s="25">
        <v>0</v>
      </c>
      <c r="BE67" s="25">
        <v>0</v>
      </c>
      <c r="BF67" s="25">
        <v>0</v>
      </c>
      <c r="BG67" s="18">
        <v>5000</v>
      </c>
      <c r="BH67" s="18">
        <v>0</v>
      </c>
      <c r="BI67" s="25">
        <v>0</v>
      </c>
      <c r="BJ67" s="25">
        <v>0</v>
      </c>
      <c r="BK67" s="25">
        <v>0</v>
      </c>
    </row>
    <row r="68" spans="1:63">
      <c r="A68" s="18">
        <v>3315</v>
      </c>
      <c r="B68" s="18" t="s">
        <v>88</v>
      </c>
      <c r="C68" s="25">
        <v>40645.08</v>
      </c>
      <c r="D68" s="25">
        <v>0</v>
      </c>
      <c r="E68" s="25">
        <v>0</v>
      </c>
      <c r="F68" s="25">
        <f t="shared" si="0"/>
        <v>40645.08</v>
      </c>
      <c r="G68" s="25">
        <v>822574</v>
      </c>
      <c r="H68" s="25">
        <v>0</v>
      </c>
      <c r="I68" s="25">
        <v>44865</v>
      </c>
      <c r="J68" s="25">
        <v>0</v>
      </c>
      <c r="K68" s="25">
        <v>19800</v>
      </c>
      <c r="L68" s="25">
        <v>1480</v>
      </c>
      <c r="M68" s="25">
        <v>6154</v>
      </c>
      <c r="N68" s="25">
        <v>40364</v>
      </c>
      <c r="O68" s="25">
        <v>45731</v>
      </c>
      <c r="P68" s="25">
        <v>196</v>
      </c>
      <c r="Q68" s="25">
        <v>0</v>
      </c>
      <c r="R68" s="25">
        <v>54149</v>
      </c>
      <c r="S68" s="25">
        <v>14879</v>
      </c>
      <c r="T68" s="25">
        <v>0</v>
      </c>
      <c r="U68" s="25">
        <v>0</v>
      </c>
      <c r="V68" s="25">
        <v>0</v>
      </c>
      <c r="W68" s="25">
        <v>27484</v>
      </c>
      <c r="X68" s="25">
        <v>432295</v>
      </c>
      <c r="Y68" s="25">
        <v>-566</v>
      </c>
      <c r="Z68" s="25">
        <v>185434</v>
      </c>
      <c r="AA68" s="25">
        <v>22811</v>
      </c>
      <c r="AB68" s="25">
        <v>34366</v>
      </c>
      <c r="AC68" s="25">
        <v>0</v>
      </c>
      <c r="AD68" s="25">
        <v>28511</v>
      </c>
      <c r="AE68" s="25">
        <v>7849</v>
      </c>
      <c r="AF68" s="25">
        <v>5348</v>
      </c>
      <c r="AG68" s="25">
        <v>8194</v>
      </c>
      <c r="AH68" s="25">
        <v>490</v>
      </c>
      <c r="AI68" s="25">
        <v>13784</v>
      </c>
      <c r="AJ68" s="25">
        <v>0</v>
      </c>
      <c r="AK68" s="25">
        <v>5782</v>
      </c>
      <c r="AL68" s="25">
        <v>-48</v>
      </c>
      <c r="AM68" s="25">
        <v>10887</v>
      </c>
      <c r="AN68" s="25">
        <v>0</v>
      </c>
      <c r="AO68" s="25">
        <v>6181</v>
      </c>
      <c r="AP68" s="25">
        <v>69388</v>
      </c>
      <c r="AQ68" s="25">
        <v>18193</v>
      </c>
      <c r="AR68" s="25">
        <v>0</v>
      </c>
      <c r="AS68" s="25">
        <v>10295</v>
      </c>
      <c r="AT68" s="25">
        <v>1637</v>
      </c>
      <c r="AU68" s="25">
        <v>3207</v>
      </c>
      <c r="AV68" s="25">
        <v>68145</v>
      </c>
      <c r="AW68" s="25">
        <v>21482</v>
      </c>
      <c r="AX68" s="25">
        <v>29098</v>
      </c>
      <c r="AY68" s="25">
        <v>26112</v>
      </c>
      <c r="AZ68" s="25">
        <v>0</v>
      </c>
      <c r="BA68" s="25">
        <v>0</v>
      </c>
      <c r="BB68" s="25">
        <v>-1</v>
      </c>
      <c r="BC68" s="25">
        <v>0</v>
      </c>
      <c r="BD68" s="25">
        <v>0</v>
      </c>
      <c r="BE68" s="25">
        <v>0</v>
      </c>
      <c r="BF68" s="25">
        <v>0</v>
      </c>
      <c r="BG68" s="18">
        <v>5000</v>
      </c>
      <c r="BH68" s="18">
        <v>0</v>
      </c>
      <c r="BI68" s="25">
        <v>0</v>
      </c>
      <c r="BJ68" s="25">
        <v>0</v>
      </c>
      <c r="BK68" s="25">
        <v>0</v>
      </c>
    </row>
    <row r="69" spans="1:63">
      <c r="A69" s="18">
        <v>3504</v>
      </c>
      <c r="B69" s="18" t="s">
        <v>89</v>
      </c>
      <c r="C69" s="25">
        <v>127152.15</v>
      </c>
      <c r="D69" s="25">
        <v>0</v>
      </c>
      <c r="E69" s="25">
        <v>0</v>
      </c>
      <c r="F69" s="25">
        <f t="shared" si="0"/>
        <v>127152.15</v>
      </c>
      <c r="G69" s="25">
        <v>1768691</v>
      </c>
      <c r="H69" s="25">
        <v>0</v>
      </c>
      <c r="I69" s="25">
        <v>117132</v>
      </c>
      <c r="J69" s="25">
        <v>0</v>
      </c>
      <c r="K69" s="25">
        <v>87149</v>
      </c>
      <c r="L69" s="25">
        <v>14394</v>
      </c>
      <c r="M69" s="25">
        <v>16627</v>
      </c>
      <c r="N69" s="25">
        <v>151837</v>
      </c>
      <c r="O69" s="25">
        <v>50941</v>
      </c>
      <c r="P69" s="25">
        <v>1500</v>
      </c>
      <c r="Q69" s="25">
        <v>5875</v>
      </c>
      <c r="R69" s="25">
        <v>49017</v>
      </c>
      <c r="S69" s="25">
        <v>1125</v>
      </c>
      <c r="T69" s="25">
        <v>0</v>
      </c>
      <c r="U69" s="25">
        <v>0</v>
      </c>
      <c r="V69" s="25">
        <v>0</v>
      </c>
      <c r="W69" s="25">
        <v>52465</v>
      </c>
      <c r="X69" s="25">
        <v>1052913</v>
      </c>
      <c r="Y69" s="25">
        <v>-1</v>
      </c>
      <c r="Z69" s="25">
        <v>378351</v>
      </c>
      <c r="AA69" s="25">
        <v>31645</v>
      </c>
      <c r="AB69" s="25">
        <v>124566</v>
      </c>
      <c r="AC69" s="25">
        <v>9357</v>
      </c>
      <c r="AD69" s="25">
        <v>57610</v>
      </c>
      <c r="AE69" s="25">
        <v>19899</v>
      </c>
      <c r="AF69" s="25">
        <v>25517</v>
      </c>
      <c r="AG69" s="25">
        <v>9998</v>
      </c>
      <c r="AH69" s="25">
        <v>2306</v>
      </c>
      <c r="AI69" s="25">
        <v>24486</v>
      </c>
      <c r="AJ69" s="25">
        <v>34426</v>
      </c>
      <c r="AK69" s="25">
        <v>31695</v>
      </c>
      <c r="AL69" s="25">
        <v>4612</v>
      </c>
      <c r="AM69" s="25">
        <v>11002</v>
      </c>
      <c r="AN69" s="25">
        <v>0</v>
      </c>
      <c r="AO69" s="25">
        <v>15697</v>
      </c>
      <c r="AP69" s="25">
        <v>137330</v>
      </c>
      <c r="AQ69" s="25">
        <v>46628</v>
      </c>
      <c r="AR69" s="25">
        <v>0</v>
      </c>
      <c r="AS69" s="25">
        <v>9416</v>
      </c>
      <c r="AT69" s="25">
        <v>12236</v>
      </c>
      <c r="AU69" s="25">
        <v>25389</v>
      </c>
      <c r="AV69" s="25">
        <v>114074</v>
      </c>
      <c r="AW69" s="25">
        <v>1460</v>
      </c>
      <c r="AX69" s="25">
        <v>67886</v>
      </c>
      <c r="AY69" s="25">
        <v>31845</v>
      </c>
      <c r="AZ69" s="25">
        <v>0</v>
      </c>
      <c r="BA69" s="25">
        <v>16589</v>
      </c>
      <c r="BB69" s="25">
        <v>0</v>
      </c>
      <c r="BC69" s="25">
        <v>0</v>
      </c>
      <c r="BD69" s="25">
        <v>0</v>
      </c>
      <c r="BE69" s="25">
        <v>0</v>
      </c>
      <c r="BF69" s="25">
        <v>16589</v>
      </c>
      <c r="BG69" s="18">
        <v>5000</v>
      </c>
      <c r="BH69" s="18">
        <v>0</v>
      </c>
      <c r="BI69" s="25">
        <v>0</v>
      </c>
      <c r="BJ69" s="25">
        <v>0</v>
      </c>
      <c r="BK69" s="25">
        <v>16589</v>
      </c>
    </row>
    <row r="70" spans="1:63">
      <c r="A70" s="18">
        <v>3307</v>
      </c>
      <c r="B70" s="18" t="s">
        <v>90</v>
      </c>
      <c r="C70" s="25">
        <v>137438.44</v>
      </c>
      <c r="D70" s="25">
        <v>0</v>
      </c>
      <c r="E70" s="25">
        <v>0</v>
      </c>
      <c r="F70" s="25">
        <f t="shared" ref="F70:F104" si="1">SUM(C70:E70)</f>
        <v>137438.44</v>
      </c>
      <c r="G70" s="25">
        <v>948445</v>
      </c>
      <c r="H70" s="25">
        <v>0</v>
      </c>
      <c r="I70" s="25">
        <v>18673</v>
      </c>
      <c r="J70" s="25">
        <v>0</v>
      </c>
      <c r="K70" s="25">
        <v>43500</v>
      </c>
      <c r="L70" s="25">
        <v>9445</v>
      </c>
      <c r="M70" s="25">
        <v>0</v>
      </c>
      <c r="N70" s="25">
        <v>83975</v>
      </c>
      <c r="O70" s="25">
        <v>34603</v>
      </c>
      <c r="P70" s="25">
        <v>15424</v>
      </c>
      <c r="Q70" s="25">
        <v>15187</v>
      </c>
      <c r="R70" s="25">
        <v>48530</v>
      </c>
      <c r="S70" s="25">
        <v>13970</v>
      </c>
      <c r="T70" s="25">
        <v>0</v>
      </c>
      <c r="U70" s="25">
        <v>0</v>
      </c>
      <c r="V70" s="25">
        <v>0</v>
      </c>
      <c r="W70" s="25">
        <v>27722</v>
      </c>
      <c r="X70" s="25">
        <v>575952</v>
      </c>
      <c r="Y70" s="25">
        <v>0</v>
      </c>
      <c r="Z70" s="25">
        <v>195121</v>
      </c>
      <c r="AA70" s="25">
        <v>60653</v>
      </c>
      <c r="AB70" s="25">
        <v>31316</v>
      </c>
      <c r="AC70" s="25">
        <v>23</v>
      </c>
      <c r="AD70" s="25">
        <v>18600</v>
      </c>
      <c r="AE70" s="25">
        <v>2232</v>
      </c>
      <c r="AF70" s="25">
        <v>2777</v>
      </c>
      <c r="AG70" s="25">
        <v>9155</v>
      </c>
      <c r="AH70" s="25">
        <v>831</v>
      </c>
      <c r="AI70" s="25">
        <v>42424</v>
      </c>
      <c r="AJ70" s="25">
        <v>2177</v>
      </c>
      <c r="AK70" s="25">
        <v>5461</v>
      </c>
      <c r="AL70" s="25">
        <v>2717</v>
      </c>
      <c r="AM70" s="25">
        <v>17520</v>
      </c>
      <c r="AN70" s="25">
        <v>0</v>
      </c>
      <c r="AO70" s="25">
        <v>6831</v>
      </c>
      <c r="AP70" s="25">
        <v>63589</v>
      </c>
      <c r="AQ70" s="25">
        <v>14242</v>
      </c>
      <c r="AR70" s="25">
        <v>0</v>
      </c>
      <c r="AS70" s="25">
        <v>7706</v>
      </c>
      <c r="AT70" s="25">
        <v>7082</v>
      </c>
      <c r="AU70" s="25">
        <v>691</v>
      </c>
      <c r="AV70" s="25">
        <v>61594</v>
      </c>
      <c r="AW70" s="25">
        <v>63478</v>
      </c>
      <c r="AX70" s="25">
        <v>35137</v>
      </c>
      <c r="AY70" s="25">
        <v>36414</v>
      </c>
      <c r="AZ70" s="25">
        <v>0</v>
      </c>
      <c r="BA70" s="25">
        <v>8729</v>
      </c>
      <c r="BB70" s="25">
        <v>1</v>
      </c>
      <c r="BC70" s="25">
        <v>0</v>
      </c>
      <c r="BD70" s="25">
        <v>0</v>
      </c>
      <c r="BE70" s="25">
        <v>0</v>
      </c>
      <c r="BF70" s="25">
        <v>8729</v>
      </c>
      <c r="BG70" s="18">
        <v>5000</v>
      </c>
      <c r="BH70" s="18">
        <v>0</v>
      </c>
      <c r="BI70" s="25">
        <v>0</v>
      </c>
      <c r="BJ70" s="25">
        <v>0</v>
      </c>
      <c r="BK70" s="25">
        <v>8730</v>
      </c>
    </row>
    <row r="71" spans="1:63">
      <c r="A71" s="18">
        <v>3309</v>
      </c>
      <c r="B71" s="13" t="s">
        <v>91</v>
      </c>
      <c r="C71" s="25">
        <v>90049.59</v>
      </c>
      <c r="D71" s="25">
        <v>0</v>
      </c>
      <c r="E71" s="25">
        <v>0</v>
      </c>
      <c r="F71" s="25">
        <f t="shared" si="1"/>
        <v>90049.59</v>
      </c>
      <c r="G71" s="25">
        <v>976149</v>
      </c>
      <c r="H71" s="25">
        <v>0</v>
      </c>
      <c r="I71" s="25">
        <v>112277</v>
      </c>
      <c r="J71" s="25">
        <v>0</v>
      </c>
      <c r="K71" s="25">
        <v>55174</v>
      </c>
      <c r="L71" s="25">
        <v>5985</v>
      </c>
      <c r="M71" s="25">
        <v>740</v>
      </c>
      <c r="N71" s="25">
        <v>35616</v>
      </c>
      <c r="O71" s="25">
        <v>36206</v>
      </c>
      <c r="P71" s="25">
        <v>7295</v>
      </c>
      <c r="Q71" s="25">
        <v>623</v>
      </c>
      <c r="R71" s="25">
        <v>22526</v>
      </c>
      <c r="S71" s="25">
        <v>8669</v>
      </c>
      <c r="T71" s="25">
        <v>0</v>
      </c>
      <c r="U71" s="25">
        <v>0</v>
      </c>
      <c r="V71" s="25">
        <v>0</v>
      </c>
      <c r="W71" s="25">
        <v>26832</v>
      </c>
      <c r="X71" s="25">
        <v>605129</v>
      </c>
      <c r="Y71" s="25">
        <v>2244</v>
      </c>
      <c r="Z71" s="25">
        <v>340303</v>
      </c>
      <c r="AA71" s="25">
        <v>0</v>
      </c>
      <c r="AB71" s="25">
        <v>48237</v>
      </c>
      <c r="AC71" s="25">
        <v>37848</v>
      </c>
      <c r="AD71" s="25">
        <v>3376</v>
      </c>
      <c r="AE71" s="25">
        <v>11493</v>
      </c>
      <c r="AF71" s="25">
        <v>6872</v>
      </c>
      <c r="AG71" s="25">
        <v>7842</v>
      </c>
      <c r="AH71" s="25">
        <v>4262</v>
      </c>
      <c r="AI71" s="25">
        <v>22203</v>
      </c>
      <c r="AJ71" s="25">
        <v>6901</v>
      </c>
      <c r="AK71" s="25">
        <v>31187</v>
      </c>
      <c r="AL71" s="25">
        <v>4544</v>
      </c>
      <c r="AM71" s="25">
        <v>7342</v>
      </c>
      <c r="AN71" s="25">
        <v>0</v>
      </c>
      <c r="AO71" s="25">
        <v>4344</v>
      </c>
      <c r="AP71" s="25">
        <v>52974</v>
      </c>
      <c r="AQ71" s="25">
        <v>12834</v>
      </c>
      <c r="AR71" s="25">
        <v>0</v>
      </c>
      <c r="AS71" s="25">
        <v>10409</v>
      </c>
      <c r="AT71" s="25">
        <v>5331</v>
      </c>
      <c r="AU71" s="25">
        <v>5144</v>
      </c>
      <c r="AV71" s="25">
        <v>36065</v>
      </c>
      <c r="AW71" s="25">
        <v>1902</v>
      </c>
      <c r="AX71" s="25">
        <v>28505</v>
      </c>
      <c r="AY71" s="25">
        <v>27168</v>
      </c>
      <c r="AZ71" s="25">
        <v>0</v>
      </c>
      <c r="BA71" s="25">
        <v>28934</v>
      </c>
      <c r="BB71" s="25">
        <v>0</v>
      </c>
      <c r="BC71" s="25">
        <v>0</v>
      </c>
      <c r="BD71" s="25">
        <v>0</v>
      </c>
      <c r="BE71" s="25">
        <v>17000</v>
      </c>
      <c r="BF71" s="25">
        <v>28934</v>
      </c>
      <c r="BG71" s="18">
        <v>5000</v>
      </c>
      <c r="BH71" s="18">
        <v>0</v>
      </c>
      <c r="BI71" s="25">
        <v>40973</v>
      </c>
      <c r="BJ71" s="25">
        <v>0</v>
      </c>
      <c r="BK71" s="25">
        <v>4962</v>
      </c>
    </row>
    <row r="72" spans="1:63">
      <c r="A72" s="18">
        <v>3508</v>
      </c>
      <c r="B72" s="18" t="s">
        <v>92</v>
      </c>
      <c r="C72" s="25">
        <v>0</v>
      </c>
      <c r="D72" s="25">
        <v>0</v>
      </c>
      <c r="E72" s="25">
        <v>-0.39</v>
      </c>
      <c r="F72" s="25">
        <f t="shared" si="1"/>
        <v>-0.39</v>
      </c>
      <c r="G72" s="25">
        <v>-5340</v>
      </c>
      <c r="H72" s="25">
        <v>0</v>
      </c>
      <c r="I72" s="25">
        <v>0</v>
      </c>
      <c r="J72" s="25">
        <v>0</v>
      </c>
      <c r="K72" s="25">
        <v>0</v>
      </c>
      <c r="L72" s="25">
        <v>0</v>
      </c>
      <c r="M72" s="25">
        <v>248</v>
      </c>
      <c r="N72" s="25">
        <v>5340</v>
      </c>
      <c r="O72" s="25">
        <v>0</v>
      </c>
      <c r="P72" s="25">
        <v>0</v>
      </c>
      <c r="Q72" s="25">
        <v>0</v>
      </c>
      <c r="R72" s="25">
        <v>0</v>
      </c>
      <c r="S72" s="25">
        <v>0</v>
      </c>
      <c r="T72" s="25">
        <v>0</v>
      </c>
      <c r="U72" s="25">
        <v>0</v>
      </c>
      <c r="V72" s="25">
        <v>0</v>
      </c>
      <c r="W72" s="25">
        <v>0</v>
      </c>
      <c r="X72" s="25">
        <v>1</v>
      </c>
      <c r="Y72" s="25">
        <v>-1</v>
      </c>
      <c r="Z72" s="25">
        <v>-101</v>
      </c>
      <c r="AA72" s="25">
        <v>-201</v>
      </c>
      <c r="AB72" s="25">
        <v>-99</v>
      </c>
      <c r="AC72" s="25">
        <v>0</v>
      </c>
      <c r="AD72" s="25">
        <v>-648</v>
      </c>
      <c r="AE72" s="25">
        <v>-1904</v>
      </c>
      <c r="AF72" s="25">
        <v>-405</v>
      </c>
      <c r="AG72" s="25">
        <v>0</v>
      </c>
      <c r="AH72" s="25">
        <v>0</v>
      </c>
      <c r="AI72" s="25">
        <v>160</v>
      </c>
      <c r="AJ72" s="25">
        <v>0</v>
      </c>
      <c r="AK72" s="25">
        <v>18</v>
      </c>
      <c r="AL72" s="25">
        <v>0</v>
      </c>
      <c r="AM72" s="25">
        <v>-1121</v>
      </c>
      <c r="AN72" s="25">
        <v>0</v>
      </c>
      <c r="AO72" s="25">
        <v>-44</v>
      </c>
      <c r="AP72" s="25">
        <v>1337</v>
      </c>
      <c r="AQ72" s="25">
        <v>0</v>
      </c>
      <c r="AR72" s="25">
        <v>0</v>
      </c>
      <c r="AS72" s="25">
        <v>-943</v>
      </c>
      <c r="AT72" s="25">
        <v>0</v>
      </c>
      <c r="AU72" s="25">
        <v>74</v>
      </c>
      <c r="AV72" s="25">
        <v>0</v>
      </c>
      <c r="AW72" s="25">
        <v>-480</v>
      </c>
      <c r="AX72" s="25">
        <v>456</v>
      </c>
      <c r="AY72" s="25">
        <v>8</v>
      </c>
      <c r="AZ72" s="25">
        <v>0</v>
      </c>
      <c r="BA72" s="25">
        <v>0</v>
      </c>
      <c r="BB72" s="25">
        <v>-1</v>
      </c>
      <c r="BC72" s="25">
        <v>0</v>
      </c>
      <c r="BD72" s="25">
        <v>0</v>
      </c>
      <c r="BE72" s="25">
        <v>0</v>
      </c>
      <c r="BF72" s="25">
        <v>0</v>
      </c>
      <c r="BG72" s="18">
        <v>5000</v>
      </c>
      <c r="BH72" s="18">
        <v>0</v>
      </c>
      <c r="BI72" s="25">
        <v>0</v>
      </c>
      <c r="BJ72" s="25">
        <v>0</v>
      </c>
      <c r="BK72" s="25">
        <v>0</v>
      </c>
    </row>
    <row r="73" spans="1:63">
      <c r="A73" s="18">
        <v>3509</v>
      </c>
      <c r="B73" s="18" t="s">
        <v>93</v>
      </c>
      <c r="C73" s="25">
        <v>108043.11</v>
      </c>
      <c r="D73" s="25">
        <v>0</v>
      </c>
      <c r="E73" s="25">
        <v>0</v>
      </c>
      <c r="F73" s="25">
        <f t="shared" si="1"/>
        <v>108043.11</v>
      </c>
      <c r="G73" s="25">
        <v>1924495</v>
      </c>
      <c r="H73" s="25">
        <v>0</v>
      </c>
      <c r="I73" s="25">
        <v>85065</v>
      </c>
      <c r="J73" s="25">
        <v>0</v>
      </c>
      <c r="K73" s="25">
        <v>87000</v>
      </c>
      <c r="L73" s="25">
        <v>1500</v>
      </c>
      <c r="M73" s="25">
        <v>12197</v>
      </c>
      <c r="N73" s="25">
        <v>61732</v>
      </c>
      <c r="O73" s="25">
        <v>80699</v>
      </c>
      <c r="P73" s="25">
        <v>10843</v>
      </c>
      <c r="Q73" s="25">
        <v>452</v>
      </c>
      <c r="R73" s="25">
        <v>77208</v>
      </c>
      <c r="S73" s="25">
        <v>19617</v>
      </c>
      <c r="T73" s="25">
        <v>0</v>
      </c>
      <c r="U73" s="25">
        <v>0</v>
      </c>
      <c r="V73" s="25">
        <v>0</v>
      </c>
      <c r="W73" s="25">
        <v>50622</v>
      </c>
      <c r="X73" s="25">
        <v>1030649</v>
      </c>
      <c r="Y73" s="25">
        <v>6830</v>
      </c>
      <c r="Z73" s="25">
        <v>494136</v>
      </c>
      <c r="AA73" s="25">
        <v>77685</v>
      </c>
      <c r="AB73" s="25">
        <v>101769</v>
      </c>
      <c r="AC73" s="25">
        <v>0</v>
      </c>
      <c r="AD73" s="25">
        <v>53893</v>
      </c>
      <c r="AE73" s="25">
        <v>17182</v>
      </c>
      <c r="AF73" s="25">
        <v>16499</v>
      </c>
      <c r="AG73" s="25">
        <v>22171</v>
      </c>
      <c r="AH73" s="25">
        <v>3128</v>
      </c>
      <c r="AI73" s="25">
        <v>31012</v>
      </c>
      <c r="AJ73" s="25">
        <v>78</v>
      </c>
      <c r="AK73" s="25">
        <v>8500</v>
      </c>
      <c r="AL73" s="25">
        <v>5291</v>
      </c>
      <c r="AM73" s="25">
        <v>37088</v>
      </c>
      <c r="AN73" s="25">
        <v>0</v>
      </c>
      <c r="AO73" s="25">
        <v>13478</v>
      </c>
      <c r="AP73" s="25">
        <v>132453</v>
      </c>
      <c r="AQ73" s="25">
        <v>52686</v>
      </c>
      <c r="AR73" s="25">
        <v>0</v>
      </c>
      <c r="AS73" s="25">
        <v>12932</v>
      </c>
      <c r="AT73" s="25">
        <v>15598</v>
      </c>
      <c r="AU73" s="25">
        <v>21206</v>
      </c>
      <c r="AV73" s="25">
        <v>129494</v>
      </c>
      <c r="AW73" s="25">
        <v>51450</v>
      </c>
      <c r="AX73" s="25">
        <v>54996</v>
      </c>
      <c r="AY73" s="25">
        <v>24586</v>
      </c>
      <c r="AZ73" s="25">
        <v>0</v>
      </c>
      <c r="BA73" s="25">
        <v>0</v>
      </c>
      <c r="BB73" s="25">
        <v>1</v>
      </c>
      <c r="BC73" s="25">
        <v>0</v>
      </c>
      <c r="BD73" s="25">
        <v>0</v>
      </c>
      <c r="BE73" s="25">
        <v>0</v>
      </c>
      <c r="BF73" s="25">
        <v>0</v>
      </c>
      <c r="BG73" s="18">
        <v>5000</v>
      </c>
      <c r="BH73" s="18">
        <v>0</v>
      </c>
      <c r="BI73" s="25">
        <v>0</v>
      </c>
      <c r="BJ73" s="25">
        <v>0</v>
      </c>
      <c r="BK73" s="25">
        <v>0</v>
      </c>
    </row>
    <row r="74" spans="1:63">
      <c r="A74" s="18">
        <v>3311</v>
      </c>
      <c r="B74" s="18" t="s">
        <v>96</v>
      </c>
      <c r="C74" s="25">
        <v>104996.87</v>
      </c>
      <c r="D74" s="25">
        <v>0</v>
      </c>
      <c r="E74" s="25">
        <v>0</v>
      </c>
      <c r="F74" s="25">
        <f t="shared" si="1"/>
        <v>104996.87</v>
      </c>
      <c r="G74" s="25">
        <v>1768635</v>
      </c>
      <c r="H74" s="25">
        <v>0</v>
      </c>
      <c r="I74" s="25">
        <v>44064</v>
      </c>
      <c r="J74" s="25">
        <v>0</v>
      </c>
      <c r="K74" s="25">
        <v>40900</v>
      </c>
      <c r="L74" s="25">
        <v>2506</v>
      </c>
      <c r="M74" s="25">
        <v>10025</v>
      </c>
      <c r="N74" s="25">
        <v>30506</v>
      </c>
      <c r="O74" s="25">
        <v>67669</v>
      </c>
      <c r="P74" s="25">
        <v>0</v>
      </c>
      <c r="Q74" s="25">
        <v>0</v>
      </c>
      <c r="R74" s="25">
        <v>79132</v>
      </c>
      <c r="S74" s="25">
        <v>16706</v>
      </c>
      <c r="T74" s="25">
        <v>0</v>
      </c>
      <c r="U74" s="25">
        <v>0</v>
      </c>
      <c r="V74" s="25">
        <v>0</v>
      </c>
      <c r="W74" s="25">
        <v>48072</v>
      </c>
      <c r="X74" s="25">
        <v>915137</v>
      </c>
      <c r="Y74" s="25">
        <v>0</v>
      </c>
      <c r="Z74" s="25">
        <v>434859</v>
      </c>
      <c r="AA74" s="25">
        <v>58239</v>
      </c>
      <c r="AB74" s="25">
        <v>68911</v>
      </c>
      <c r="AC74" s="25">
        <v>0</v>
      </c>
      <c r="AD74" s="25">
        <v>71198</v>
      </c>
      <c r="AE74" s="25">
        <v>36440</v>
      </c>
      <c r="AF74" s="25">
        <v>5351</v>
      </c>
      <c r="AG74" s="25">
        <v>1394</v>
      </c>
      <c r="AH74" s="25">
        <v>1533</v>
      </c>
      <c r="AI74" s="25">
        <v>34638</v>
      </c>
      <c r="AJ74" s="25">
        <v>4860</v>
      </c>
      <c r="AK74" s="25">
        <v>23498</v>
      </c>
      <c r="AL74" s="25">
        <v>5907</v>
      </c>
      <c r="AM74" s="25">
        <v>23369</v>
      </c>
      <c r="AN74" s="25">
        <v>0</v>
      </c>
      <c r="AO74" s="25">
        <v>9741</v>
      </c>
      <c r="AP74" s="25">
        <v>94296</v>
      </c>
      <c r="AQ74" s="25">
        <v>19873</v>
      </c>
      <c r="AR74" s="25">
        <v>0</v>
      </c>
      <c r="AS74" s="25">
        <v>13246</v>
      </c>
      <c r="AT74" s="25">
        <v>8220</v>
      </c>
      <c r="AU74" s="25">
        <v>6270</v>
      </c>
      <c r="AV74" s="25">
        <v>114419</v>
      </c>
      <c r="AW74" s="25">
        <v>45199</v>
      </c>
      <c r="AX74" s="25">
        <v>58905</v>
      </c>
      <c r="AY74" s="25">
        <v>39769</v>
      </c>
      <c r="AZ74" s="25">
        <v>0</v>
      </c>
      <c r="BA74" s="25">
        <v>20242</v>
      </c>
      <c r="BB74" s="25">
        <v>-1</v>
      </c>
      <c r="BC74" s="25">
        <v>0</v>
      </c>
      <c r="BD74" s="25">
        <v>0</v>
      </c>
      <c r="BE74" s="25">
        <v>8000</v>
      </c>
      <c r="BF74" s="25">
        <v>20242</v>
      </c>
      <c r="BG74" s="18">
        <v>5000</v>
      </c>
      <c r="BH74" s="18">
        <v>0</v>
      </c>
      <c r="BI74" s="25">
        <v>0</v>
      </c>
      <c r="BJ74" s="25">
        <v>7830</v>
      </c>
      <c r="BK74" s="25">
        <v>20412</v>
      </c>
    </row>
    <row r="75" spans="1:63">
      <c r="A75" s="18">
        <v>3521</v>
      </c>
      <c r="B75" s="18" t="s">
        <v>317</v>
      </c>
      <c r="C75" s="25">
        <v>146050.06</v>
      </c>
      <c r="D75" s="25">
        <v>0</v>
      </c>
      <c r="E75" s="25">
        <v>0</v>
      </c>
      <c r="F75" s="25">
        <f t="shared" si="1"/>
        <v>146050.06</v>
      </c>
      <c r="G75" s="25">
        <v>2704940</v>
      </c>
      <c r="H75" s="25">
        <v>0</v>
      </c>
      <c r="I75" s="25">
        <v>86085</v>
      </c>
      <c r="J75" s="25">
        <v>0</v>
      </c>
      <c r="K75" s="25">
        <v>155901</v>
      </c>
      <c r="L75" s="25">
        <v>500</v>
      </c>
      <c r="M75" s="25">
        <v>7560</v>
      </c>
      <c r="N75" s="25">
        <v>4518</v>
      </c>
      <c r="O75" s="25">
        <v>73721</v>
      </c>
      <c r="P75" s="25">
        <v>9000</v>
      </c>
      <c r="Q75" s="25">
        <v>0</v>
      </c>
      <c r="R75" s="25">
        <v>94700</v>
      </c>
      <c r="S75" s="25">
        <v>14062</v>
      </c>
      <c r="T75" s="25">
        <v>0</v>
      </c>
      <c r="U75" s="25">
        <v>0</v>
      </c>
      <c r="V75" s="25">
        <v>0</v>
      </c>
      <c r="W75" s="25">
        <v>64407</v>
      </c>
      <c r="X75" s="25">
        <v>1391786</v>
      </c>
      <c r="Y75" s="25">
        <v>0</v>
      </c>
      <c r="Z75" s="25">
        <v>534369</v>
      </c>
      <c r="AA75" s="25">
        <v>64736</v>
      </c>
      <c r="AB75" s="25">
        <v>145105</v>
      </c>
      <c r="AC75" s="25">
        <v>0</v>
      </c>
      <c r="AD75" s="25">
        <v>63738</v>
      </c>
      <c r="AE75" s="25">
        <v>36415</v>
      </c>
      <c r="AF75" s="25">
        <v>22776</v>
      </c>
      <c r="AG75" s="25">
        <v>18712</v>
      </c>
      <c r="AH75" s="25">
        <v>6594</v>
      </c>
      <c r="AI75" s="25">
        <v>31394</v>
      </c>
      <c r="AJ75" s="25">
        <v>9626</v>
      </c>
      <c r="AK75" s="25">
        <v>53548</v>
      </c>
      <c r="AL75" s="25">
        <v>7030</v>
      </c>
      <c r="AM75" s="25">
        <v>44260</v>
      </c>
      <c r="AN75" s="25">
        <v>0</v>
      </c>
      <c r="AO75" s="25">
        <v>22924</v>
      </c>
      <c r="AP75" s="25">
        <v>193496</v>
      </c>
      <c r="AQ75" s="25">
        <v>54918</v>
      </c>
      <c r="AR75" s="25">
        <v>0</v>
      </c>
      <c r="AS75" s="25">
        <v>63250</v>
      </c>
      <c r="AT75" s="25">
        <v>7501</v>
      </c>
      <c r="AU75" s="25">
        <v>8861</v>
      </c>
      <c r="AV75" s="25">
        <v>149050</v>
      </c>
      <c r="AW75" s="25">
        <v>73691</v>
      </c>
      <c r="AX75" s="25">
        <v>96034</v>
      </c>
      <c r="AY75" s="25">
        <v>73990</v>
      </c>
      <c r="AZ75" s="25">
        <v>0</v>
      </c>
      <c r="BA75" s="25">
        <v>38065</v>
      </c>
      <c r="BB75" s="25">
        <v>0</v>
      </c>
      <c r="BC75" s="25">
        <v>0</v>
      </c>
      <c r="BD75" s="25">
        <v>0</v>
      </c>
      <c r="BE75" s="25">
        <v>0</v>
      </c>
      <c r="BF75" s="25">
        <v>38065</v>
      </c>
      <c r="BG75" s="18">
        <v>5000</v>
      </c>
      <c r="BH75" s="18">
        <v>0</v>
      </c>
      <c r="BI75" s="25">
        <v>30685</v>
      </c>
      <c r="BJ75" s="25">
        <v>0</v>
      </c>
      <c r="BK75" s="25">
        <v>7381</v>
      </c>
    </row>
    <row r="76" spans="1:63">
      <c r="A76" s="18">
        <v>3312</v>
      </c>
      <c r="B76" s="13" t="s">
        <v>95</v>
      </c>
      <c r="C76" s="25">
        <v>48298.7</v>
      </c>
      <c r="D76" s="25">
        <v>0</v>
      </c>
      <c r="E76" s="25">
        <v>-7808</v>
      </c>
      <c r="F76" s="25">
        <f t="shared" si="1"/>
        <v>40490.699999999997</v>
      </c>
      <c r="G76" s="25">
        <v>882641</v>
      </c>
      <c r="H76" s="25">
        <v>0</v>
      </c>
      <c r="I76" s="25">
        <v>79142</v>
      </c>
      <c r="J76" s="25">
        <v>0</v>
      </c>
      <c r="K76" s="25">
        <v>39200</v>
      </c>
      <c r="L76" s="25">
        <v>37826</v>
      </c>
      <c r="M76" s="25">
        <v>14484</v>
      </c>
      <c r="N76" s="25">
        <v>47290</v>
      </c>
      <c r="O76" s="25">
        <v>29761</v>
      </c>
      <c r="P76" s="25">
        <v>6327</v>
      </c>
      <c r="Q76" s="25">
        <v>0</v>
      </c>
      <c r="R76" s="25">
        <v>40184</v>
      </c>
      <c r="S76" s="25">
        <v>114</v>
      </c>
      <c r="T76" s="25">
        <v>0</v>
      </c>
      <c r="U76" s="25">
        <v>0</v>
      </c>
      <c r="V76" s="25">
        <v>0</v>
      </c>
      <c r="W76" s="25">
        <v>27294</v>
      </c>
      <c r="X76" s="25">
        <v>564789</v>
      </c>
      <c r="Y76" s="25">
        <v>1624</v>
      </c>
      <c r="Z76" s="25">
        <v>217111</v>
      </c>
      <c r="AA76" s="25">
        <v>28744</v>
      </c>
      <c r="AB76" s="25">
        <v>33339</v>
      </c>
      <c r="AC76" s="25">
        <v>0</v>
      </c>
      <c r="AD76" s="25">
        <v>2718</v>
      </c>
      <c r="AE76" s="25">
        <v>5968</v>
      </c>
      <c r="AF76" s="25">
        <v>5380</v>
      </c>
      <c r="AG76" s="25">
        <v>10314</v>
      </c>
      <c r="AH76" s="25">
        <v>2020</v>
      </c>
      <c r="AI76" s="25">
        <v>6531</v>
      </c>
      <c r="AJ76" s="25">
        <v>2975</v>
      </c>
      <c r="AK76" s="25">
        <v>16539</v>
      </c>
      <c r="AL76" s="25">
        <v>910</v>
      </c>
      <c r="AM76" s="25">
        <v>9595</v>
      </c>
      <c r="AN76" s="25">
        <v>0</v>
      </c>
      <c r="AO76" s="25">
        <v>8063</v>
      </c>
      <c r="AP76" s="25">
        <v>68734</v>
      </c>
      <c r="AQ76" s="25">
        <v>13064</v>
      </c>
      <c r="AR76" s="25">
        <v>0</v>
      </c>
      <c r="AS76" s="25">
        <v>5272</v>
      </c>
      <c r="AT76" s="25">
        <v>11468</v>
      </c>
      <c r="AU76" s="25">
        <v>9815</v>
      </c>
      <c r="AV76" s="25">
        <v>60972</v>
      </c>
      <c r="AW76" s="25">
        <v>1053</v>
      </c>
      <c r="AX76" s="25">
        <v>36347</v>
      </c>
      <c r="AY76" s="25">
        <v>32724</v>
      </c>
      <c r="AZ76" s="25">
        <v>0</v>
      </c>
      <c r="BA76" s="25">
        <v>14434</v>
      </c>
      <c r="BB76" s="25">
        <v>0</v>
      </c>
      <c r="BC76" s="25">
        <v>0</v>
      </c>
      <c r="BD76" s="25">
        <v>0</v>
      </c>
      <c r="BE76" s="25">
        <v>13126</v>
      </c>
      <c r="BF76" s="25">
        <v>14434</v>
      </c>
      <c r="BG76" s="18">
        <v>5000</v>
      </c>
      <c r="BH76" s="18">
        <v>0</v>
      </c>
      <c r="BI76" s="25">
        <v>0</v>
      </c>
      <c r="BJ76" s="25">
        <v>0</v>
      </c>
      <c r="BK76" s="25">
        <v>19752</v>
      </c>
    </row>
    <row r="77" spans="1:63">
      <c r="A77" s="18">
        <v>3313</v>
      </c>
      <c r="B77" s="18" t="s">
        <v>97</v>
      </c>
      <c r="C77" s="25">
        <v>187943.1</v>
      </c>
      <c r="D77" s="25">
        <v>0</v>
      </c>
      <c r="E77" s="25">
        <v>0</v>
      </c>
      <c r="F77" s="25">
        <f t="shared" si="1"/>
        <v>187943.1</v>
      </c>
      <c r="G77" s="25">
        <v>1022336</v>
      </c>
      <c r="H77" s="25">
        <v>0</v>
      </c>
      <c r="I77" s="25">
        <v>57087</v>
      </c>
      <c r="J77" s="25">
        <v>0</v>
      </c>
      <c r="K77" s="25">
        <v>73557</v>
      </c>
      <c r="L77" s="25">
        <v>0</v>
      </c>
      <c r="M77" s="25">
        <v>1164</v>
      </c>
      <c r="N77" s="25">
        <v>6030</v>
      </c>
      <c r="O77" s="25">
        <v>24488</v>
      </c>
      <c r="P77" s="25">
        <v>5778</v>
      </c>
      <c r="Q77" s="25">
        <v>0</v>
      </c>
      <c r="R77" s="25">
        <v>22172</v>
      </c>
      <c r="S77" s="25">
        <v>14534</v>
      </c>
      <c r="T77" s="25">
        <v>0</v>
      </c>
      <c r="U77" s="25">
        <v>0</v>
      </c>
      <c r="V77" s="25">
        <v>0</v>
      </c>
      <c r="W77" s="25">
        <v>25037</v>
      </c>
      <c r="X77" s="25">
        <v>563435</v>
      </c>
      <c r="Y77" s="25">
        <v>11455</v>
      </c>
      <c r="Z77" s="25">
        <v>222383</v>
      </c>
      <c r="AA77" s="25">
        <v>25092</v>
      </c>
      <c r="AB77" s="25">
        <v>27809</v>
      </c>
      <c r="AC77" s="25">
        <v>1</v>
      </c>
      <c r="AD77" s="25">
        <v>22287</v>
      </c>
      <c r="AE77" s="25">
        <v>15770</v>
      </c>
      <c r="AF77" s="25">
        <v>5089</v>
      </c>
      <c r="AG77" s="25">
        <v>8885</v>
      </c>
      <c r="AH77" s="25">
        <v>3821</v>
      </c>
      <c r="AI77" s="25">
        <v>17398</v>
      </c>
      <c r="AJ77" s="25">
        <v>128</v>
      </c>
      <c r="AK77" s="25">
        <v>14008</v>
      </c>
      <c r="AL77" s="25">
        <v>2235</v>
      </c>
      <c r="AM77" s="25">
        <v>11613</v>
      </c>
      <c r="AN77" s="25">
        <v>0</v>
      </c>
      <c r="AO77" s="25">
        <v>4373</v>
      </c>
      <c r="AP77" s="25">
        <v>94057</v>
      </c>
      <c r="AQ77" s="25">
        <v>15304</v>
      </c>
      <c r="AR77" s="25">
        <v>0</v>
      </c>
      <c r="AS77" s="25">
        <v>5722</v>
      </c>
      <c r="AT77" s="25">
        <v>3301</v>
      </c>
      <c r="AU77" s="25">
        <v>9302</v>
      </c>
      <c r="AV77" s="25">
        <v>53556</v>
      </c>
      <c r="AW77" s="25">
        <v>21394</v>
      </c>
      <c r="AX77" s="25">
        <v>35128</v>
      </c>
      <c r="AY77" s="25">
        <v>27116</v>
      </c>
      <c r="AZ77" s="25">
        <v>0</v>
      </c>
      <c r="BA77" s="25">
        <v>0</v>
      </c>
      <c r="BB77" s="25">
        <v>-1</v>
      </c>
      <c r="BC77" s="25">
        <v>0</v>
      </c>
      <c r="BD77" s="25">
        <v>0</v>
      </c>
      <c r="BE77" s="25">
        <v>0</v>
      </c>
      <c r="BF77" s="25">
        <v>0</v>
      </c>
      <c r="BG77" s="18">
        <v>5000</v>
      </c>
      <c r="BH77" s="18">
        <v>0</v>
      </c>
      <c r="BI77" s="25">
        <v>0</v>
      </c>
      <c r="BJ77" s="25">
        <v>0</v>
      </c>
      <c r="BK77" s="25">
        <v>0</v>
      </c>
    </row>
    <row r="78" spans="1:63">
      <c r="A78" s="18">
        <v>3314</v>
      </c>
      <c r="B78" s="18" t="s">
        <v>98</v>
      </c>
      <c r="C78" s="25">
        <v>40212.879999999997</v>
      </c>
      <c r="D78" s="25">
        <v>0</v>
      </c>
      <c r="E78" s="25">
        <v>0</v>
      </c>
      <c r="F78" s="25">
        <f t="shared" si="1"/>
        <v>40212.879999999997</v>
      </c>
      <c r="G78" s="25">
        <v>868805</v>
      </c>
      <c r="H78" s="25">
        <v>0</v>
      </c>
      <c r="I78" s="25">
        <v>58215</v>
      </c>
      <c r="J78" s="25">
        <v>0</v>
      </c>
      <c r="K78" s="25">
        <v>16900</v>
      </c>
      <c r="L78" s="25">
        <v>1700</v>
      </c>
      <c r="M78" s="25">
        <v>46143</v>
      </c>
      <c r="N78" s="25">
        <v>32844</v>
      </c>
      <c r="O78" s="25">
        <v>35400</v>
      </c>
      <c r="P78" s="25">
        <v>0</v>
      </c>
      <c r="Q78" s="25">
        <v>4765</v>
      </c>
      <c r="R78" s="25">
        <v>35730</v>
      </c>
      <c r="S78" s="25">
        <v>8626</v>
      </c>
      <c r="T78" s="25">
        <v>0</v>
      </c>
      <c r="U78" s="25">
        <v>0</v>
      </c>
      <c r="V78" s="25">
        <v>0</v>
      </c>
      <c r="W78" s="25">
        <v>28380</v>
      </c>
      <c r="X78" s="25">
        <v>504062</v>
      </c>
      <c r="Y78" s="25">
        <v>3008</v>
      </c>
      <c r="Z78" s="25">
        <v>146699</v>
      </c>
      <c r="AA78" s="25">
        <v>33054</v>
      </c>
      <c r="AB78" s="25">
        <v>43877</v>
      </c>
      <c r="AC78" s="25">
        <v>4217</v>
      </c>
      <c r="AD78" s="25">
        <v>17030</v>
      </c>
      <c r="AE78" s="25">
        <v>6255</v>
      </c>
      <c r="AF78" s="25">
        <v>7567</v>
      </c>
      <c r="AG78" s="25">
        <v>6519</v>
      </c>
      <c r="AH78" s="25">
        <v>247</v>
      </c>
      <c r="AI78" s="25">
        <v>25087</v>
      </c>
      <c r="AJ78" s="25">
        <v>8522</v>
      </c>
      <c r="AK78" s="25">
        <v>538</v>
      </c>
      <c r="AL78" s="25">
        <v>3125</v>
      </c>
      <c r="AM78" s="25">
        <v>12801</v>
      </c>
      <c r="AN78" s="25">
        <v>0</v>
      </c>
      <c r="AO78" s="25">
        <v>10114</v>
      </c>
      <c r="AP78" s="25">
        <v>92662</v>
      </c>
      <c r="AQ78" s="25">
        <v>21461</v>
      </c>
      <c r="AR78" s="25">
        <v>0</v>
      </c>
      <c r="AS78" s="25">
        <v>10120</v>
      </c>
      <c r="AT78" s="25">
        <v>5213</v>
      </c>
      <c r="AU78" s="25">
        <v>8958</v>
      </c>
      <c r="AV78" s="25">
        <v>57708</v>
      </c>
      <c r="AW78" s="25">
        <v>24548</v>
      </c>
      <c r="AX78" s="25">
        <v>20769</v>
      </c>
      <c r="AY78" s="25">
        <v>33271</v>
      </c>
      <c r="AZ78" s="25">
        <v>0</v>
      </c>
      <c r="BA78" s="25">
        <v>8990</v>
      </c>
      <c r="BB78" s="25">
        <v>0</v>
      </c>
      <c r="BC78" s="25">
        <v>0</v>
      </c>
      <c r="BD78" s="25">
        <v>0</v>
      </c>
      <c r="BE78" s="25">
        <v>0</v>
      </c>
      <c r="BF78" s="25">
        <v>8990</v>
      </c>
      <c r="BG78" s="18">
        <v>5000</v>
      </c>
      <c r="BH78" s="18">
        <v>0</v>
      </c>
      <c r="BI78" s="25">
        <v>0</v>
      </c>
      <c r="BJ78" s="25">
        <v>0</v>
      </c>
      <c r="BK78" s="25">
        <v>8990</v>
      </c>
    </row>
    <row r="79" spans="1:63">
      <c r="A79" s="18">
        <v>3507</v>
      </c>
      <c r="B79" s="18" t="s">
        <v>99</v>
      </c>
      <c r="C79" s="25">
        <v>77119.009999999995</v>
      </c>
      <c r="D79" s="25">
        <v>0</v>
      </c>
      <c r="E79" s="25">
        <v>1.79</v>
      </c>
      <c r="F79" s="25">
        <f t="shared" si="1"/>
        <v>77120.799999999988</v>
      </c>
      <c r="G79" s="25">
        <v>985696</v>
      </c>
      <c r="H79" s="25">
        <v>0</v>
      </c>
      <c r="I79" s="25">
        <v>0</v>
      </c>
      <c r="J79" s="25">
        <v>0</v>
      </c>
      <c r="K79" s="25">
        <v>41900</v>
      </c>
      <c r="L79" s="25">
        <v>2600</v>
      </c>
      <c r="M79" s="25">
        <v>5555</v>
      </c>
      <c r="N79" s="25">
        <v>17227</v>
      </c>
      <c r="O79" s="25">
        <v>30375</v>
      </c>
      <c r="P79" s="25">
        <v>0</v>
      </c>
      <c r="Q79" s="25">
        <v>0</v>
      </c>
      <c r="R79" s="25">
        <v>29413</v>
      </c>
      <c r="S79" s="25">
        <v>7053</v>
      </c>
      <c r="T79" s="25">
        <v>0</v>
      </c>
      <c r="U79" s="25">
        <v>0</v>
      </c>
      <c r="V79" s="25">
        <v>0</v>
      </c>
      <c r="W79" s="25">
        <v>33790</v>
      </c>
      <c r="X79" s="25">
        <v>497387</v>
      </c>
      <c r="Y79" s="25">
        <v>0</v>
      </c>
      <c r="Z79" s="25">
        <v>122769</v>
      </c>
      <c r="AA79" s="25">
        <v>52825</v>
      </c>
      <c r="AB79" s="25">
        <v>38024</v>
      </c>
      <c r="AC79" s="25">
        <v>0</v>
      </c>
      <c r="AD79" s="25">
        <v>27608</v>
      </c>
      <c r="AE79" s="25">
        <v>11585</v>
      </c>
      <c r="AF79" s="25">
        <v>12238</v>
      </c>
      <c r="AG79" s="25">
        <v>8204</v>
      </c>
      <c r="AH79" s="25">
        <v>1965</v>
      </c>
      <c r="AI79" s="25">
        <v>16748</v>
      </c>
      <c r="AJ79" s="25">
        <v>800</v>
      </c>
      <c r="AK79" s="25">
        <v>182</v>
      </c>
      <c r="AL79" s="25">
        <v>2949</v>
      </c>
      <c r="AM79" s="25">
        <v>10065</v>
      </c>
      <c r="AN79" s="25">
        <v>0</v>
      </c>
      <c r="AO79" s="25">
        <v>6072</v>
      </c>
      <c r="AP79" s="25">
        <v>75596</v>
      </c>
      <c r="AQ79" s="25">
        <v>23436</v>
      </c>
      <c r="AR79" s="25">
        <v>0</v>
      </c>
      <c r="AS79" s="25">
        <v>7712</v>
      </c>
      <c r="AT79" s="25">
        <v>5711</v>
      </c>
      <c r="AU79" s="25">
        <v>12779</v>
      </c>
      <c r="AV79" s="25">
        <v>61488</v>
      </c>
      <c r="AW79" s="25">
        <v>37271</v>
      </c>
      <c r="AX79" s="25">
        <v>56522</v>
      </c>
      <c r="AY79" s="25">
        <v>34016</v>
      </c>
      <c r="AZ79" s="25">
        <v>0</v>
      </c>
      <c r="BA79" s="25">
        <v>13114</v>
      </c>
      <c r="BB79" s="25">
        <v>1</v>
      </c>
      <c r="BC79" s="25">
        <v>0</v>
      </c>
      <c r="BD79" s="25">
        <v>0</v>
      </c>
      <c r="BE79" s="25">
        <v>7458</v>
      </c>
      <c r="BF79" s="25">
        <v>13114</v>
      </c>
      <c r="BG79" s="18">
        <v>5000</v>
      </c>
      <c r="BH79" s="18">
        <v>0</v>
      </c>
      <c r="BI79" s="25">
        <v>0</v>
      </c>
      <c r="BJ79" s="25">
        <v>0</v>
      </c>
      <c r="BK79" s="25">
        <v>20573</v>
      </c>
    </row>
    <row r="80" spans="1:63">
      <c r="A80" s="18">
        <v>3506</v>
      </c>
      <c r="B80" s="18" t="s">
        <v>100</v>
      </c>
      <c r="C80" s="25">
        <v>110514.39</v>
      </c>
      <c r="D80" s="25">
        <v>0</v>
      </c>
      <c r="E80" s="25">
        <v>0</v>
      </c>
      <c r="F80" s="25">
        <f t="shared" si="1"/>
        <v>110514.39</v>
      </c>
      <c r="G80" s="25">
        <v>1306150</v>
      </c>
      <c r="H80" s="25">
        <v>0</v>
      </c>
      <c r="I80" s="25">
        <v>74432</v>
      </c>
      <c r="J80" s="25">
        <v>0</v>
      </c>
      <c r="K80" s="25">
        <v>72506</v>
      </c>
      <c r="L80" s="25">
        <v>4450</v>
      </c>
      <c r="M80" s="25">
        <v>11492</v>
      </c>
      <c r="N80" s="25">
        <v>14846</v>
      </c>
      <c r="O80" s="25">
        <v>31336</v>
      </c>
      <c r="P80" s="25">
        <v>8736</v>
      </c>
      <c r="Q80" s="25">
        <v>0</v>
      </c>
      <c r="R80" s="25">
        <v>30699</v>
      </c>
      <c r="S80" s="25">
        <v>2997</v>
      </c>
      <c r="T80" s="25">
        <v>0</v>
      </c>
      <c r="U80" s="25">
        <v>0</v>
      </c>
      <c r="V80" s="25">
        <v>0</v>
      </c>
      <c r="W80" s="25">
        <v>38989</v>
      </c>
      <c r="X80" s="25">
        <v>669812</v>
      </c>
      <c r="Y80" s="25">
        <v>8257</v>
      </c>
      <c r="Z80" s="25">
        <v>311566</v>
      </c>
      <c r="AA80" s="25">
        <v>47413</v>
      </c>
      <c r="AB80" s="25">
        <v>63589</v>
      </c>
      <c r="AC80" s="25">
        <v>0</v>
      </c>
      <c r="AD80" s="25">
        <v>0</v>
      </c>
      <c r="AE80" s="25">
        <v>8336</v>
      </c>
      <c r="AF80" s="25">
        <v>13471</v>
      </c>
      <c r="AG80" s="25">
        <v>10024</v>
      </c>
      <c r="AH80" s="25">
        <v>381</v>
      </c>
      <c r="AI80" s="25">
        <v>31814</v>
      </c>
      <c r="AJ80" s="25">
        <v>4915</v>
      </c>
      <c r="AK80" s="25">
        <v>2853</v>
      </c>
      <c r="AL80" s="25">
        <v>3313</v>
      </c>
      <c r="AM80" s="25">
        <v>20468</v>
      </c>
      <c r="AN80" s="25">
        <v>0</v>
      </c>
      <c r="AO80" s="25">
        <v>9573</v>
      </c>
      <c r="AP80" s="25">
        <v>62962</v>
      </c>
      <c r="AQ80" s="25">
        <v>28733</v>
      </c>
      <c r="AR80" s="25">
        <v>0</v>
      </c>
      <c r="AS80" s="25">
        <v>10370</v>
      </c>
      <c r="AT80" s="25">
        <v>9807</v>
      </c>
      <c r="AU80" s="25">
        <v>1640</v>
      </c>
      <c r="AV80" s="25">
        <v>74694</v>
      </c>
      <c r="AW80" s="25">
        <v>49011</v>
      </c>
      <c r="AX80" s="25">
        <v>74972</v>
      </c>
      <c r="AY80" s="25">
        <v>41540</v>
      </c>
      <c r="AZ80" s="25">
        <v>0</v>
      </c>
      <c r="BA80" s="25">
        <v>0</v>
      </c>
      <c r="BB80" s="25">
        <v>-1</v>
      </c>
      <c r="BC80" s="25">
        <v>0</v>
      </c>
      <c r="BD80" s="25">
        <v>0</v>
      </c>
      <c r="BE80" s="25">
        <v>0</v>
      </c>
      <c r="BF80" s="25">
        <v>0</v>
      </c>
      <c r="BG80" s="18">
        <v>5000</v>
      </c>
      <c r="BH80" s="18">
        <v>0</v>
      </c>
      <c r="BI80" s="25">
        <v>0</v>
      </c>
      <c r="BJ80" s="25">
        <v>0</v>
      </c>
      <c r="BK80" s="25">
        <v>0</v>
      </c>
    </row>
    <row r="81" spans="1:63">
      <c r="A81" s="18">
        <v>2052</v>
      </c>
      <c r="B81" s="18" t="s">
        <v>101</v>
      </c>
      <c r="C81" s="25">
        <v>156036.15</v>
      </c>
      <c r="D81" s="25">
        <v>0</v>
      </c>
      <c r="E81" s="25">
        <v>3250.04</v>
      </c>
      <c r="F81" s="25">
        <f t="shared" si="1"/>
        <v>159286.19</v>
      </c>
      <c r="G81" s="25">
        <v>2169727</v>
      </c>
      <c r="H81" s="25">
        <v>0</v>
      </c>
      <c r="I81" s="25">
        <v>204279</v>
      </c>
      <c r="J81" s="25">
        <v>0</v>
      </c>
      <c r="K81" s="25">
        <v>198400</v>
      </c>
      <c r="L81" s="25">
        <v>1000</v>
      </c>
      <c r="M81" s="25">
        <v>5457</v>
      </c>
      <c r="N81" s="25">
        <v>8859</v>
      </c>
      <c r="O81" s="25">
        <v>50346</v>
      </c>
      <c r="P81" s="25">
        <v>17750</v>
      </c>
      <c r="Q81" s="25">
        <v>0</v>
      </c>
      <c r="R81" s="25">
        <v>15022</v>
      </c>
      <c r="S81" s="25">
        <v>6603</v>
      </c>
      <c r="T81" s="25">
        <v>0</v>
      </c>
      <c r="U81" s="25">
        <v>0</v>
      </c>
      <c r="V81" s="25">
        <v>0</v>
      </c>
      <c r="W81" s="25">
        <v>48309</v>
      </c>
      <c r="X81" s="25">
        <v>1238676</v>
      </c>
      <c r="Y81" s="25">
        <v>0</v>
      </c>
      <c r="Z81" s="25">
        <v>425326</v>
      </c>
      <c r="AA81" s="25">
        <v>48760</v>
      </c>
      <c r="AB81" s="25">
        <v>70519</v>
      </c>
      <c r="AC81" s="25">
        <v>49016</v>
      </c>
      <c r="AD81" s="25">
        <v>32331</v>
      </c>
      <c r="AE81" s="25">
        <v>13407</v>
      </c>
      <c r="AF81" s="25">
        <v>11580</v>
      </c>
      <c r="AG81" s="25">
        <v>24934</v>
      </c>
      <c r="AH81" s="25">
        <v>1907</v>
      </c>
      <c r="AI81" s="25">
        <v>25570</v>
      </c>
      <c r="AJ81" s="25">
        <v>5863</v>
      </c>
      <c r="AK81" s="25">
        <v>32194</v>
      </c>
      <c r="AL81" s="25">
        <v>3092</v>
      </c>
      <c r="AM81" s="25">
        <v>28716</v>
      </c>
      <c r="AN81" s="25">
        <v>23618</v>
      </c>
      <c r="AO81" s="25">
        <v>8822</v>
      </c>
      <c r="AP81" s="25">
        <v>99380</v>
      </c>
      <c r="AQ81" s="25">
        <v>41296</v>
      </c>
      <c r="AR81" s="25">
        <v>0</v>
      </c>
      <c r="AS81" s="25">
        <v>13100</v>
      </c>
      <c r="AT81" s="25">
        <v>11110</v>
      </c>
      <c r="AU81" s="25">
        <v>7797</v>
      </c>
      <c r="AV81" s="25">
        <v>81196</v>
      </c>
      <c r="AW81" s="25">
        <v>124043</v>
      </c>
      <c r="AX81" s="25">
        <v>210576</v>
      </c>
      <c r="AY81" s="25">
        <v>52695</v>
      </c>
      <c r="AZ81" s="25">
        <v>0</v>
      </c>
      <c r="BA81" s="25">
        <v>84566</v>
      </c>
      <c r="BB81" s="25">
        <v>1</v>
      </c>
      <c r="BC81" s="25">
        <v>0</v>
      </c>
      <c r="BD81" s="25">
        <v>9012</v>
      </c>
      <c r="BE81" s="25">
        <v>0</v>
      </c>
      <c r="BF81" s="25">
        <v>84566</v>
      </c>
      <c r="BG81" s="18">
        <v>5000</v>
      </c>
      <c r="BH81" s="18">
        <v>0</v>
      </c>
      <c r="BI81" s="25">
        <v>96686</v>
      </c>
      <c r="BJ81" s="25">
        <v>0</v>
      </c>
      <c r="BK81" s="25">
        <v>0</v>
      </c>
    </row>
    <row r="82" spans="1:63">
      <c r="A82" s="18">
        <v>2070</v>
      </c>
      <c r="B82" s="13" t="s">
        <v>102</v>
      </c>
      <c r="C82" s="25">
        <v>98495.54</v>
      </c>
      <c r="D82" s="25">
        <v>0</v>
      </c>
      <c r="E82" s="25">
        <v>10230.219999999999</v>
      </c>
      <c r="F82" s="25">
        <f t="shared" si="1"/>
        <v>108725.75999999999</v>
      </c>
      <c r="G82" s="25">
        <v>1140262</v>
      </c>
      <c r="H82" s="25">
        <v>0</v>
      </c>
      <c r="I82" s="25">
        <v>79088</v>
      </c>
      <c r="J82" s="25">
        <v>0</v>
      </c>
      <c r="K82" s="25">
        <v>107163</v>
      </c>
      <c r="L82" s="25">
        <v>9590</v>
      </c>
      <c r="M82" s="25">
        <v>5832</v>
      </c>
      <c r="N82" s="25">
        <v>5009</v>
      </c>
      <c r="O82" s="25">
        <v>26125</v>
      </c>
      <c r="P82" s="25">
        <v>3078</v>
      </c>
      <c r="Q82" s="25">
        <v>4590</v>
      </c>
      <c r="R82" s="25">
        <v>14628</v>
      </c>
      <c r="S82" s="25">
        <v>3556</v>
      </c>
      <c r="T82" s="25">
        <v>0</v>
      </c>
      <c r="U82" s="25">
        <v>0</v>
      </c>
      <c r="V82" s="25">
        <v>0</v>
      </c>
      <c r="W82" s="25">
        <v>22838</v>
      </c>
      <c r="X82" s="25">
        <v>601966</v>
      </c>
      <c r="Y82" s="25">
        <v>6095</v>
      </c>
      <c r="Z82" s="25">
        <v>312341</v>
      </c>
      <c r="AA82" s="25">
        <v>46918</v>
      </c>
      <c r="AB82" s="25">
        <v>56164</v>
      </c>
      <c r="AC82" s="25">
        <v>-1</v>
      </c>
      <c r="AD82" s="25">
        <v>27427</v>
      </c>
      <c r="AE82" s="25">
        <v>6537</v>
      </c>
      <c r="AF82" s="25">
        <v>6744</v>
      </c>
      <c r="AG82" s="25">
        <v>5240</v>
      </c>
      <c r="AH82" s="25">
        <v>7611</v>
      </c>
      <c r="AI82" s="25">
        <v>13248</v>
      </c>
      <c r="AJ82" s="25">
        <v>2592</v>
      </c>
      <c r="AK82" s="25">
        <v>1542</v>
      </c>
      <c r="AL82" s="25">
        <v>2737</v>
      </c>
      <c r="AM82" s="25">
        <v>13973</v>
      </c>
      <c r="AN82" s="25">
        <v>12773</v>
      </c>
      <c r="AO82" s="25">
        <v>6088</v>
      </c>
      <c r="AP82" s="25">
        <v>48626</v>
      </c>
      <c r="AQ82" s="25">
        <v>21755</v>
      </c>
      <c r="AR82" s="25">
        <v>0</v>
      </c>
      <c r="AS82" s="25">
        <v>14769</v>
      </c>
      <c r="AT82" s="25">
        <v>5006</v>
      </c>
      <c r="AU82" s="25">
        <v>7269</v>
      </c>
      <c r="AV82" s="25">
        <v>63410</v>
      </c>
      <c r="AW82" s="25">
        <v>6155</v>
      </c>
      <c r="AX82" s="25">
        <v>58092</v>
      </c>
      <c r="AY82" s="25">
        <v>13767</v>
      </c>
      <c r="AZ82" s="25">
        <v>0</v>
      </c>
      <c r="BA82" s="25">
        <v>58672</v>
      </c>
      <c r="BB82" s="25">
        <v>0</v>
      </c>
      <c r="BC82" s="25">
        <v>0</v>
      </c>
      <c r="BD82" s="25">
        <v>6576</v>
      </c>
      <c r="BE82" s="25">
        <v>0</v>
      </c>
      <c r="BF82" s="25">
        <v>58672</v>
      </c>
      <c r="BG82" s="18">
        <v>5000</v>
      </c>
      <c r="BH82" s="18">
        <v>0</v>
      </c>
      <c r="BI82" s="25">
        <v>65820</v>
      </c>
      <c r="BJ82" s="25">
        <v>6735</v>
      </c>
      <c r="BK82" s="25">
        <v>2924</v>
      </c>
    </row>
    <row r="83" spans="1:63">
      <c r="A83" s="18">
        <v>3316</v>
      </c>
      <c r="B83" s="18" t="s">
        <v>103</v>
      </c>
      <c r="C83" s="25">
        <v>35851.550000000003</v>
      </c>
      <c r="D83" s="25">
        <v>0</v>
      </c>
      <c r="E83" s="25">
        <v>0</v>
      </c>
      <c r="F83" s="25">
        <f t="shared" si="1"/>
        <v>35851.550000000003</v>
      </c>
      <c r="G83" s="25">
        <v>848124</v>
      </c>
      <c r="H83" s="25">
        <v>0</v>
      </c>
      <c r="I83" s="25">
        <v>596</v>
      </c>
      <c r="J83" s="25">
        <v>0</v>
      </c>
      <c r="K83" s="25">
        <v>26291</v>
      </c>
      <c r="L83" s="25">
        <v>1940</v>
      </c>
      <c r="M83" s="25">
        <v>1365</v>
      </c>
      <c r="N83" s="25">
        <v>13174</v>
      </c>
      <c r="O83" s="25">
        <v>39323</v>
      </c>
      <c r="P83" s="25">
        <v>0</v>
      </c>
      <c r="Q83" s="25">
        <v>505</v>
      </c>
      <c r="R83" s="25">
        <v>28486</v>
      </c>
      <c r="S83" s="25">
        <v>8242</v>
      </c>
      <c r="T83" s="25">
        <v>0</v>
      </c>
      <c r="U83" s="25">
        <v>0</v>
      </c>
      <c r="V83" s="25">
        <v>0</v>
      </c>
      <c r="W83" s="25">
        <v>26169</v>
      </c>
      <c r="X83" s="25">
        <v>439352</v>
      </c>
      <c r="Y83" s="25">
        <v>2253</v>
      </c>
      <c r="Z83" s="25">
        <v>119351</v>
      </c>
      <c r="AA83" s="25">
        <v>24984</v>
      </c>
      <c r="AB83" s="25">
        <v>39872</v>
      </c>
      <c r="AC83" s="25">
        <v>0</v>
      </c>
      <c r="AD83" s="25">
        <v>32215</v>
      </c>
      <c r="AE83" s="25">
        <v>5062</v>
      </c>
      <c r="AF83" s="25">
        <v>14461</v>
      </c>
      <c r="AG83" s="25">
        <v>8795</v>
      </c>
      <c r="AH83" s="25">
        <v>882</v>
      </c>
      <c r="AI83" s="25">
        <v>5788</v>
      </c>
      <c r="AJ83" s="25">
        <v>177</v>
      </c>
      <c r="AK83" s="25">
        <v>11614</v>
      </c>
      <c r="AL83" s="25">
        <v>1962</v>
      </c>
      <c r="AM83" s="25">
        <v>12460</v>
      </c>
      <c r="AN83" s="25">
        <v>0</v>
      </c>
      <c r="AO83" s="25">
        <v>5117</v>
      </c>
      <c r="AP83" s="25">
        <v>70717</v>
      </c>
      <c r="AQ83" s="25">
        <v>13505</v>
      </c>
      <c r="AR83" s="25">
        <v>0</v>
      </c>
      <c r="AS83" s="25">
        <v>3890</v>
      </c>
      <c r="AT83" s="25">
        <v>4292</v>
      </c>
      <c r="AU83" s="25">
        <v>3798</v>
      </c>
      <c r="AV83" s="25">
        <v>61550</v>
      </c>
      <c r="AW83" s="25">
        <v>66712</v>
      </c>
      <c r="AX83" s="25">
        <v>51347</v>
      </c>
      <c r="AY83" s="25">
        <v>9251</v>
      </c>
      <c r="AZ83" s="25">
        <v>0</v>
      </c>
      <c r="BA83" s="25">
        <v>0</v>
      </c>
      <c r="BB83" s="25">
        <v>0</v>
      </c>
      <c r="BC83" s="25">
        <v>0</v>
      </c>
      <c r="BD83" s="25">
        <v>0</v>
      </c>
      <c r="BE83" s="25">
        <v>0</v>
      </c>
      <c r="BF83" s="25">
        <v>0</v>
      </c>
      <c r="BG83" s="18">
        <v>5000</v>
      </c>
      <c r="BH83" s="18">
        <v>0</v>
      </c>
      <c r="BI83" s="25">
        <v>0</v>
      </c>
      <c r="BJ83" s="25">
        <v>0</v>
      </c>
      <c r="BK83" s="25">
        <v>0</v>
      </c>
    </row>
    <row r="84" spans="1:63">
      <c r="A84" s="18">
        <v>2055</v>
      </c>
      <c r="B84" s="18" t="s">
        <v>104</v>
      </c>
      <c r="C84" s="25">
        <v>50702.95</v>
      </c>
      <c r="D84" s="25">
        <v>0</v>
      </c>
      <c r="E84" s="25">
        <v>-1997.19</v>
      </c>
      <c r="F84" s="25">
        <f t="shared" si="1"/>
        <v>48705.759999999995</v>
      </c>
      <c r="G84" s="25">
        <v>1196161</v>
      </c>
      <c r="H84" s="25">
        <v>0</v>
      </c>
      <c r="I84" s="25">
        <v>36178</v>
      </c>
      <c r="J84" s="25">
        <v>0</v>
      </c>
      <c r="K84" s="25">
        <v>100100</v>
      </c>
      <c r="L84" s="25">
        <v>15820</v>
      </c>
      <c r="M84" s="25">
        <v>740</v>
      </c>
      <c r="N84" s="25">
        <v>12448</v>
      </c>
      <c r="O84" s="25">
        <v>21225</v>
      </c>
      <c r="P84" s="25">
        <v>6156</v>
      </c>
      <c r="Q84" s="25">
        <v>0</v>
      </c>
      <c r="R84" s="25">
        <v>7769</v>
      </c>
      <c r="S84" s="25">
        <v>1640</v>
      </c>
      <c r="T84" s="25">
        <v>0</v>
      </c>
      <c r="U84" s="25">
        <v>0</v>
      </c>
      <c r="V84" s="25">
        <v>0</v>
      </c>
      <c r="W84" s="25">
        <v>23718</v>
      </c>
      <c r="X84" s="25">
        <v>590298</v>
      </c>
      <c r="Y84" s="25">
        <v>-270</v>
      </c>
      <c r="Z84" s="25">
        <v>286229</v>
      </c>
      <c r="AA84" s="25">
        <v>29211</v>
      </c>
      <c r="AB84" s="25">
        <v>56135</v>
      </c>
      <c r="AC84" s="25">
        <v>0</v>
      </c>
      <c r="AD84" s="25">
        <v>25509</v>
      </c>
      <c r="AE84" s="25">
        <v>8005</v>
      </c>
      <c r="AF84" s="25">
        <v>2025</v>
      </c>
      <c r="AG84" s="25">
        <v>11535</v>
      </c>
      <c r="AH84" s="25">
        <v>1858</v>
      </c>
      <c r="AI84" s="25">
        <v>36663</v>
      </c>
      <c r="AJ84" s="25">
        <v>4492</v>
      </c>
      <c r="AK84" s="25">
        <v>17491</v>
      </c>
      <c r="AL84" s="25">
        <v>3680</v>
      </c>
      <c r="AM84" s="25">
        <v>20731</v>
      </c>
      <c r="AN84" s="25">
        <v>16147</v>
      </c>
      <c r="AO84" s="25">
        <v>10162</v>
      </c>
      <c r="AP84" s="25">
        <v>42642</v>
      </c>
      <c r="AQ84" s="25">
        <v>12156</v>
      </c>
      <c r="AR84" s="25">
        <v>0</v>
      </c>
      <c r="AS84" s="25">
        <v>7952</v>
      </c>
      <c r="AT84" s="25">
        <v>5414</v>
      </c>
      <c r="AU84" s="25">
        <v>2435</v>
      </c>
      <c r="AV84" s="25">
        <v>55938</v>
      </c>
      <c r="AW84" s="25">
        <v>69041</v>
      </c>
      <c r="AX84" s="25">
        <v>13950</v>
      </c>
      <c r="AY84" s="25">
        <v>44885</v>
      </c>
      <c r="AZ84" s="25">
        <v>0</v>
      </c>
      <c r="BA84" s="25">
        <v>15531</v>
      </c>
      <c r="BB84" s="25">
        <v>1</v>
      </c>
      <c r="BC84" s="25">
        <v>0</v>
      </c>
      <c r="BD84" s="25">
        <v>6408</v>
      </c>
      <c r="BE84" s="25">
        <v>0</v>
      </c>
      <c r="BF84" s="25">
        <v>15531</v>
      </c>
      <c r="BG84" s="18">
        <v>5000</v>
      </c>
      <c r="BH84" s="18">
        <v>0</v>
      </c>
      <c r="BI84" s="25">
        <v>0</v>
      </c>
      <c r="BJ84" s="25">
        <v>0</v>
      </c>
      <c r="BK84" s="25">
        <v>19939</v>
      </c>
    </row>
    <row r="85" spans="1:63">
      <c r="A85" s="18">
        <v>2057</v>
      </c>
      <c r="B85" s="18" t="s">
        <v>105</v>
      </c>
      <c r="C85" s="25">
        <v>153241.24</v>
      </c>
      <c r="D85" s="25">
        <v>37514</v>
      </c>
      <c r="E85" s="25">
        <v>11270.97</v>
      </c>
      <c r="F85" s="25">
        <f t="shared" si="1"/>
        <v>202026.21</v>
      </c>
      <c r="G85" s="25">
        <v>1850974</v>
      </c>
      <c r="H85" s="25">
        <v>0</v>
      </c>
      <c r="I85" s="25">
        <v>107513</v>
      </c>
      <c r="J85" s="25">
        <v>0</v>
      </c>
      <c r="K85" s="25">
        <v>209264</v>
      </c>
      <c r="L85" s="25">
        <v>3240</v>
      </c>
      <c r="M85" s="25">
        <v>6210</v>
      </c>
      <c r="N85" s="25">
        <v>30268</v>
      </c>
      <c r="O85" s="25">
        <v>28923</v>
      </c>
      <c r="P85" s="25">
        <v>11354</v>
      </c>
      <c r="Q85" s="25">
        <v>1275</v>
      </c>
      <c r="R85" s="25">
        <v>9611</v>
      </c>
      <c r="S85" s="25">
        <v>10965</v>
      </c>
      <c r="T85" s="25">
        <v>0</v>
      </c>
      <c r="U85" s="25">
        <v>406407</v>
      </c>
      <c r="V85" s="25">
        <v>80957</v>
      </c>
      <c r="W85" s="25">
        <v>40915</v>
      </c>
      <c r="X85" s="25">
        <v>878481</v>
      </c>
      <c r="Y85" s="25">
        <v>0</v>
      </c>
      <c r="Z85" s="25">
        <v>532079</v>
      </c>
      <c r="AA85" s="25">
        <v>58823</v>
      </c>
      <c r="AB85" s="25">
        <v>92032</v>
      </c>
      <c r="AC85" s="25">
        <v>0</v>
      </c>
      <c r="AD85" s="25">
        <v>63112</v>
      </c>
      <c r="AE85" s="25">
        <v>20386</v>
      </c>
      <c r="AF85" s="25">
        <v>6304</v>
      </c>
      <c r="AG85" s="25">
        <v>5975</v>
      </c>
      <c r="AH85" s="25">
        <v>6368</v>
      </c>
      <c r="AI85" s="25">
        <v>22670</v>
      </c>
      <c r="AJ85" s="25">
        <v>6203</v>
      </c>
      <c r="AK85" s="25">
        <v>6716</v>
      </c>
      <c r="AL85" s="25">
        <v>4751</v>
      </c>
      <c r="AM85" s="25">
        <v>29083</v>
      </c>
      <c r="AN85" s="25">
        <v>36574</v>
      </c>
      <c r="AO85" s="25">
        <v>6438</v>
      </c>
      <c r="AP85" s="25">
        <v>37426</v>
      </c>
      <c r="AQ85" s="25">
        <v>13295</v>
      </c>
      <c r="AR85" s="25">
        <v>0</v>
      </c>
      <c r="AS85" s="25">
        <v>16218</v>
      </c>
      <c r="AT85" s="25">
        <v>8934</v>
      </c>
      <c r="AU85" s="25">
        <v>5958</v>
      </c>
      <c r="AV85" s="25">
        <v>94929</v>
      </c>
      <c r="AW85" s="25">
        <v>195895</v>
      </c>
      <c r="AX85" s="25">
        <v>162268</v>
      </c>
      <c r="AY85" s="25">
        <v>25960</v>
      </c>
      <c r="AZ85" s="25">
        <v>0</v>
      </c>
      <c r="BA85" s="25">
        <v>27033</v>
      </c>
      <c r="BB85" s="25">
        <v>388777</v>
      </c>
      <c r="BC85" s="25">
        <v>102344</v>
      </c>
      <c r="BD85" s="25">
        <v>10557</v>
      </c>
      <c r="BE85" s="25">
        <v>0</v>
      </c>
      <c r="BF85" s="25">
        <v>27033</v>
      </c>
      <c r="BG85" s="18">
        <v>5000</v>
      </c>
      <c r="BH85" s="18">
        <v>0</v>
      </c>
      <c r="BI85" s="25">
        <v>3662</v>
      </c>
      <c r="BJ85" s="25">
        <v>45200</v>
      </c>
      <c r="BK85" s="25">
        <v>0</v>
      </c>
    </row>
    <row r="86" spans="1:63">
      <c r="A86" s="18">
        <v>2056</v>
      </c>
      <c r="B86" s="18" t="s">
        <v>106</v>
      </c>
      <c r="C86" s="25">
        <v>102772.43</v>
      </c>
      <c r="D86" s="25">
        <v>1668</v>
      </c>
      <c r="E86" s="25">
        <v>710.63</v>
      </c>
      <c r="F86" s="25">
        <f t="shared" si="1"/>
        <v>105151.06</v>
      </c>
      <c r="G86" s="25">
        <v>530252</v>
      </c>
      <c r="H86" s="25">
        <v>0</v>
      </c>
      <c r="I86" s="25">
        <v>34887</v>
      </c>
      <c r="J86" s="25">
        <v>0</v>
      </c>
      <c r="K86" s="25">
        <v>77916</v>
      </c>
      <c r="L86" s="25">
        <v>0</v>
      </c>
      <c r="M86" s="25">
        <v>5001</v>
      </c>
      <c r="N86" s="25">
        <v>4646</v>
      </c>
      <c r="O86" s="25">
        <v>8919</v>
      </c>
      <c r="P86" s="25">
        <v>3488</v>
      </c>
      <c r="Q86" s="25">
        <v>0</v>
      </c>
      <c r="R86" s="25">
        <v>12631</v>
      </c>
      <c r="S86" s="25">
        <v>19644</v>
      </c>
      <c r="T86" s="25">
        <v>0</v>
      </c>
      <c r="U86" s="25">
        <v>0</v>
      </c>
      <c r="V86" s="25">
        <v>764</v>
      </c>
      <c r="W86" s="25">
        <v>3607</v>
      </c>
      <c r="X86" s="25">
        <v>267363</v>
      </c>
      <c r="Y86" s="25">
        <v>3494</v>
      </c>
      <c r="Z86" s="25">
        <v>168403</v>
      </c>
      <c r="AA86" s="25">
        <v>51039</v>
      </c>
      <c r="AB86" s="25">
        <v>24742</v>
      </c>
      <c r="AC86" s="25">
        <v>0</v>
      </c>
      <c r="AD86" s="25">
        <v>5170</v>
      </c>
      <c r="AE86" s="25">
        <v>21329</v>
      </c>
      <c r="AF86" s="25">
        <v>1306</v>
      </c>
      <c r="AG86" s="25">
        <v>11806</v>
      </c>
      <c r="AH86" s="25">
        <v>3102</v>
      </c>
      <c r="AI86" s="25">
        <v>27560</v>
      </c>
      <c r="AJ86" s="25">
        <v>2800</v>
      </c>
      <c r="AK86" s="25">
        <v>2339</v>
      </c>
      <c r="AL86" s="25">
        <v>3057</v>
      </c>
      <c r="AM86" s="25">
        <v>11142</v>
      </c>
      <c r="AN86" s="25">
        <v>9360</v>
      </c>
      <c r="AO86" s="25">
        <v>1663</v>
      </c>
      <c r="AP86" s="25">
        <v>48177</v>
      </c>
      <c r="AQ86" s="25">
        <v>40386</v>
      </c>
      <c r="AR86" s="25">
        <v>0</v>
      </c>
      <c r="AS86" s="25">
        <v>8313</v>
      </c>
      <c r="AT86" s="25">
        <v>3519</v>
      </c>
      <c r="AU86" s="25">
        <v>1433</v>
      </c>
      <c r="AV86" s="25">
        <v>15602</v>
      </c>
      <c r="AW86" s="25">
        <v>16603</v>
      </c>
      <c r="AX86" s="25">
        <v>26839</v>
      </c>
      <c r="AY86" s="25">
        <v>5978</v>
      </c>
      <c r="AZ86" s="25">
        <v>0</v>
      </c>
      <c r="BA86" s="25">
        <v>25730</v>
      </c>
      <c r="BB86" s="25">
        <v>0</v>
      </c>
      <c r="BC86" s="25">
        <v>0</v>
      </c>
      <c r="BD86" s="25">
        <v>2905</v>
      </c>
      <c r="BE86" s="25">
        <v>0</v>
      </c>
      <c r="BF86" s="25">
        <v>25730</v>
      </c>
      <c r="BG86" s="18">
        <v>5000</v>
      </c>
      <c r="BH86" s="18">
        <v>0</v>
      </c>
      <c r="BI86" s="25">
        <v>10030</v>
      </c>
      <c r="BJ86" s="25">
        <v>0</v>
      </c>
      <c r="BK86" s="25">
        <v>19315</v>
      </c>
    </row>
    <row r="87" spans="1:63">
      <c r="A87" s="18">
        <v>2076</v>
      </c>
      <c r="B87" s="18" t="s">
        <v>107</v>
      </c>
      <c r="C87" s="25">
        <v>269496.84000000003</v>
      </c>
      <c r="D87" s="25">
        <v>0</v>
      </c>
      <c r="E87" s="25">
        <v>27327.74</v>
      </c>
      <c r="F87" s="25">
        <f t="shared" si="1"/>
        <v>296824.58</v>
      </c>
      <c r="G87" s="25">
        <v>2207827</v>
      </c>
      <c r="H87" s="25">
        <v>0</v>
      </c>
      <c r="I87" s="25">
        <v>36811</v>
      </c>
      <c r="J87" s="25">
        <v>0</v>
      </c>
      <c r="K87" s="25">
        <v>251480</v>
      </c>
      <c r="L87" s="25">
        <v>9370</v>
      </c>
      <c r="M87" s="25">
        <v>745</v>
      </c>
      <c r="N87" s="25">
        <v>98288</v>
      </c>
      <c r="O87" s="25">
        <v>37385</v>
      </c>
      <c r="P87" s="25">
        <v>17781</v>
      </c>
      <c r="Q87" s="25">
        <v>0</v>
      </c>
      <c r="R87" s="25">
        <v>16067</v>
      </c>
      <c r="S87" s="25">
        <v>3246</v>
      </c>
      <c r="T87" s="25">
        <v>0</v>
      </c>
      <c r="U87" s="25">
        <v>0</v>
      </c>
      <c r="V87" s="25">
        <v>0</v>
      </c>
      <c r="W87" s="25">
        <v>38830</v>
      </c>
      <c r="X87" s="25">
        <v>1125868</v>
      </c>
      <c r="Y87" s="25">
        <v>13339</v>
      </c>
      <c r="Z87" s="25">
        <v>462508</v>
      </c>
      <c r="AA87" s="25">
        <v>44521</v>
      </c>
      <c r="AB87" s="25">
        <v>145671</v>
      </c>
      <c r="AC87" s="25">
        <v>0</v>
      </c>
      <c r="AD87" s="25">
        <v>51397</v>
      </c>
      <c r="AE87" s="25">
        <v>22381</v>
      </c>
      <c r="AF87" s="25">
        <v>11579</v>
      </c>
      <c r="AG87" s="25">
        <v>18189</v>
      </c>
      <c r="AH87" s="25">
        <v>8511</v>
      </c>
      <c r="AI87" s="25">
        <v>52654</v>
      </c>
      <c r="AJ87" s="25">
        <v>5578</v>
      </c>
      <c r="AK87" s="25">
        <v>34753</v>
      </c>
      <c r="AL87" s="25">
        <v>8524</v>
      </c>
      <c r="AM87" s="25">
        <v>35081</v>
      </c>
      <c r="AN87" s="25">
        <v>25064</v>
      </c>
      <c r="AO87" s="25">
        <v>11822</v>
      </c>
      <c r="AP87" s="25">
        <v>90895</v>
      </c>
      <c r="AQ87" s="25">
        <v>33575</v>
      </c>
      <c r="AR87" s="25">
        <v>0</v>
      </c>
      <c r="AS87" s="25">
        <v>19922</v>
      </c>
      <c r="AT87" s="25">
        <v>9350</v>
      </c>
      <c r="AU87" s="25">
        <v>16468</v>
      </c>
      <c r="AV87" s="25">
        <v>105471</v>
      </c>
      <c r="AW87" s="25">
        <v>51838</v>
      </c>
      <c r="AX87" s="25">
        <v>171711</v>
      </c>
      <c r="AY87" s="25">
        <v>2571</v>
      </c>
      <c r="AZ87" s="25">
        <v>0</v>
      </c>
      <c r="BA87" s="25">
        <v>15157</v>
      </c>
      <c r="BB87" s="25">
        <v>0</v>
      </c>
      <c r="BC87" s="25">
        <v>0</v>
      </c>
      <c r="BD87" s="25">
        <v>9208</v>
      </c>
      <c r="BE87" s="25">
        <v>0</v>
      </c>
      <c r="BF87" s="25">
        <v>15157</v>
      </c>
      <c r="BG87" s="18">
        <v>5000</v>
      </c>
      <c r="BH87" s="18">
        <v>0</v>
      </c>
      <c r="BI87" s="25">
        <v>0</v>
      </c>
      <c r="BJ87" s="25">
        <v>0</v>
      </c>
      <c r="BK87" s="25">
        <v>15157</v>
      </c>
    </row>
    <row r="88" spans="1:63">
      <c r="A88" s="18">
        <v>2060</v>
      </c>
      <c r="B88" s="18" t="s">
        <v>108</v>
      </c>
      <c r="C88" s="25">
        <v>263008.78000000003</v>
      </c>
      <c r="D88" s="25">
        <v>0</v>
      </c>
      <c r="E88" s="25">
        <v>1473.88</v>
      </c>
      <c r="F88" s="25">
        <f t="shared" si="1"/>
        <v>264482.66000000003</v>
      </c>
      <c r="G88" s="25">
        <v>2338928</v>
      </c>
      <c r="H88" s="25">
        <v>0</v>
      </c>
      <c r="I88" s="25">
        <v>32128</v>
      </c>
      <c r="J88" s="25">
        <v>0</v>
      </c>
      <c r="K88" s="25">
        <v>245700</v>
      </c>
      <c r="L88" s="25">
        <v>1650</v>
      </c>
      <c r="M88" s="25">
        <v>1370</v>
      </c>
      <c r="N88" s="25">
        <v>90042</v>
      </c>
      <c r="O88" s="25">
        <v>42881</v>
      </c>
      <c r="P88" s="25">
        <v>19525</v>
      </c>
      <c r="Q88" s="25">
        <v>0</v>
      </c>
      <c r="R88" s="25">
        <v>22942</v>
      </c>
      <c r="S88" s="25">
        <v>6722</v>
      </c>
      <c r="T88" s="25">
        <v>0</v>
      </c>
      <c r="U88" s="25">
        <v>0</v>
      </c>
      <c r="V88" s="25">
        <v>0</v>
      </c>
      <c r="W88" s="25">
        <v>38458</v>
      </c>
      <c r="X88" s="25">
        <v>1082405</v>
      </c>
      <c r="Y88" s="25">
        <v>0</v>
      </c>
      <c r="Z88" s="25">
        <v>557516</v>
      </c>
      <c r="AA88" s="25">
        <v>57443</v>
      </c>
      <c r="AB88" s="25">
        <v>75258</v>
      </c>
      <c r="AC88" s="25">
        <v>0</v>
      </c>
      <c r="AD88" s="25">
        <v>58618</v>
      </c>
      <c r="AE88" s="25">
        <v>5472</v>
      </c>
      <c r="AF88" s="25">
        <v>14346</v>
      </c>
      <c r="AG88" s="25">
        <v>22169</v>
      </c>
      <c r="AH88" s="25">
        <v>2200</v>
      </c>
      <c r="AI88" s="25">
        <v>142023</v>
      </c>
      <c r="AJ88" s="25">
        <v>6345</v>
      </c>
      <c r="AK88" s="25">
        <v>39560</v>
      </c>
      <c r="AL88" s="25">
        <v>3415</v>
      </c>
      <c r="AM88" s="25">
        <v>69285</v>
      </c>
      <c r="AN88" s="25">
        <v>18557</v>
      </c>
      <c r="AO88" s="25">
        <v>13750</v>
      </c>
      <c r="AP88" s="25">
        <v>116063</v>
      </c>
      <c r="AQ88" s="25">
        <v>24090</v>
      </c>
      <c r="AR88" s="25">
        <v>0</v>
      </c>
      <c r="AS88" s="25">
        <v>18070</v>
      </c>
      <c r="AT88" s="25">
        <v>23377</v>
      </c>
      <c r="AU88" s="25">
        <v>35407</v>
      </c>
      <c r="AV88" s="25">
        <v>114426</v>
      </c>
      <c r="AW88" s="25">
        <v>55990</v>
      </c>
      <c r="AX88" s="25">
        <v>28908</v>
      </c>
      <c r="AY88" s="25">
        <v>42989</v>
      </c>
      <c r="AZ88" s="25">
        <v>0</v>
      </c>
      <c r="BA88" s="25">
        <v>152334</v>
      </c>
      <c r="BB88" s="25">
        <v>0</v>
      </c>
      <c r="BC88" s="25">
        <v>0</v>
      </c>
      <c r="BD88" s="25">
        <v>8612</v>
      </c>
      <c r="BE88" s="25">
        <v>0</v>
      </c>
      <c r="BF88" s="25">
        <v>152334</v>
      </c>
      <c r="BG88" s="18">
        <v>5000</v>
      </c>
      <c r="BH88" s="18">
        <v>0</v>
      </c>
      <c r="BI88" s="25">
        <v>134075</v>
      </c>
      <c r="BJ88" s="25">
        <v>9900</v>
      </c>
      <c r="BK88" s="25">
        <v>18445</v>
      </c>
    </row>
    <row r="89" spans="1:63">
      <c r="A89" s="18">
        <v>3518</v>
      </c>
      <c r="B89" s="18" t="s">
        <v>109</v>
      </c>
      <c r="C89" s="25">
        <v>220005.51</v>
      </c>
      <c r="D89" s="25">
        <v>0</v>
      </c>
      <c r="E89" s="25">
        <v>20054.32</v>
      </c>
      <c r="F89" s="25">
        <f t="shared" si="1"/>
        <v>240059.83000000002</v>
      </c>
      <c r="G89" s="25">
        <v>2222173</v>
      </c>
      <c r="H89" s="25">
        <v>0</v>
      </c>
      <c r="I89" s="25">
        <v>116713</v>
      </c>
      <c r="J89" s="25">
        <v>0</v>
      </c>
      <c r="K89" s="25">
        <v>306100</v>
      </c>
      <c r="L89" s="25">
        <v>3550</v>
      </c>
      <c r="M89" s="25">
        <v>5077</v>
      </c>
      <c r="N89" s="25">
        <v>22128</v>
      </c>
      <c r="O89" s="25">
        <v>25560</v>
      </c>
      <c r="P89" s="25">
        <v>12197</v>
      </c>
      <c r="Q89" s="25">
        <v>14060</v>
      </c>
      <c r="R89" s="25">
        <v>14559</v>
      </c>
      <c r="S89" s="25">
        <v>9138</v>
      </c>
      <c r="T89" s="25">
        <v>0</v>
      </c>
      <c r="U89" s="25">
        <v>0</v>
      </c>
      <c r="V89" s="25">
        <v>0</v>
      </c>
      <c r="W89" s="25">
        <v>35698</v>
      </c>
      <c r="X89" s="25">
        <v>1012701</v>
      </c>
      <c r="Y89" s="25">
        <v>16806</v>
      </c>
      <c r="Z89" s="25">
        <v>672368</v>
      </c>
      <c r="AA89" s="25">
        <v>42372</v>
      </c>
      <c r="AB89" s="25">
        <v>56764</v>
      </c>
      <c r="AC89" s="25">
        <v>0</v>
      </c>
      <c r="AD89" s="25">
        <v>76431</v>
      </c>
      <c r="AE89" s="25">
        <v>11724</v>
      </c>
      <c r="AF89" s="25">
        <v>21829</v>
      </c>
      <c r="AG89" s="25">
        <v>19698</v>
      </c>
      <c r="AH89" s="25">
        <v>1940</v>
      </c>
      <c r="AI89" s="25">
        <v>52739</v>
      </c>
      <c r="AJ89" s="25">
        <v>2028</v>
      </c>
      <c r="AK89" s="25">
        <v>69990</v>
      </c>
      <c r="AL89" s="25">
        <v>4002</v>
      </c>
      <c r="AM89" s="25">
        <v>41792</v>
      </c>
      <c r="AN89" s="25">
        <v>26028</v>
      </c>
      <c r="AO89" s="25">
        <v>10407</v>
      </c>
      <c r="AP89" s="25">
        <v>97085</v>
      </c>
      <c r="AQ89" s="25">
        <v>37160</v>
      </c>
      <c r="AR89" s="25">
        <v>0</v>
      </c>
      <c r="AS89" s="25">
        <v>18996</v>
      </c>
      <c r="AT89" s="25">
        <v>11325</v>
      </c>
      <c r="AU89" s="25">
        <v>28792</v>
      </c>
      <c r="AV89" s="25">
        <v>106424</v>
      </c>
      <c r="AW89" s="25">
        <v>166621</v>
      </c>
      <c r="AX89" s="25">
        <v>123706</v>
      </c>
      <c r="AY89" s="25">
        <v>42090</v>
      </c>
      <c r="AZ89" s="25">
        <v>0</v>
      </c>
      <c r="BA89" s="25">
        <v>47329</v>
      </c>
      <c r="BB89" s="25">
        <v>0</v>
      </c>
      <c r="BC89" s="25">
        <v>0</v>
      </c>
      <c r="BD89" s="25">
        <v>9012</v>
      </c>
      <c r="BE89" s="25">
        <v>0</v>
      </c>
      <c r="BF89" s="25">
        <v>47329</v>
      </c>
      <c r="BG89" s="18">
        <v>5000</v>
      </c>
      <c r="BH89" s="18">
        <v>0</v>
      </c>
      <c r="BI89" s="25">
        <v>0</v>
      </c>
      <c r="BJ89" s="25">
        <v>6099</v>
      </c>
      <c r="BK89" s="25">
        <v>35754</v>
      </c>
    </row>
    <row r="90" spans="1:63">
      <c r="A90" s="18">
        <v>2054</v>
      </c>
      <c r="B90" s="18" t="s">
        <v>110</v>
      </c>
      <c r="C90" s="25">
        <v>129863.06</v>
      </c>
      <c r="D90" s="25">
        <v>0</v>
      </c>
      <c r="E90" s="25">
        <v>1.28</v>
      </c>
      <c r="F90" s="25">
        <f t="shared" si="1"/>
        <v>129864.34</v>
      </c>
      <c r="G90" s="25">
        <v>994571</v>
      </c>
      <c r="H90" s="25">
        <v>0</v>
      </c>
      <c r="I90" s="25">
        <v>57435</v>
      </c>
      <c r="J90" s="25">
        <v>0</v>
      </c>
      <c r="K90" s="25">
        <v>24000</v>
      </c>
      <c r="L90" s="25">
        <v>2100</v>
      </c>
      <c r="M90" s="25">
        <v>9795</v>
      </c>
      <c r="N90" s="25">
        <v>33906</v>
      </c>
      <c r="O90" s="25">
        <v>34527</v>
      </c>
      <c r="P90" s="25">
        <v>10086</v>
      </c>
      <c r="Q90" s="25">
        <v>2530</v>
      </c>
      <c r="R90" s="25">
        <v>42322</v>
      </c>
      <c r="S90" s="25">
        <v>5403</v>
      </c>
      <c r="T90" s="25">
        <v>0</v>
      </c>
      <c r="U90" s="25">
        <v>0</v>
      </c>
      <c r="V90" s="25">
        <v>0</v>
      </c>
      <c r="W90" s="25">
        <v>34517</v>
      </c>
      <c r="X90" s="25">
        <v>521946</v>
      </c>
      <c r="Y90" s="25">
        <v>9000</v>
      </c>
      <c r="Z90" s="25">
        <v>265171</v>
      </c>
      <c r="AA90" s="25">
        <v>26838</v>
      </c>
      <c r="AB90" s="25">
        <v>38647</v>
      </c>
      <c r="AC90" s="25">
        <v>2371</v>
      </c>
      <c r="AD90" s="25">
        <v>28966</v>
      </c>
      <c r="AE90" s="25">
        <v>5792</v>
      </c>
      <c r="AF90" s="25">
        <v>6491</v>
      </c>
      <c r="AG90" s="25">
        <v>8800</v>
      </c>
      <c r="AH90" s="25">
        <v>1012</v>
      </c>
      <c r="AI90" s="25">
        <v>16004</v>
      </c>
      <c r="AJ90" s="25">
        <v>7868</v>
      </c>
      <c r="AK90" s="25">
        <v>11278</v>
      </c>
      <c r="AL90" s="25">
        <v>2459</v>
      </c>
      <c r="AM90" s="25">
        <v>11089</v>
      </c>
      <c r="AN90" s="25">
        <v>13376</v>
      </c>
      <c r="AO90" s="25">
        <v>4041</v>
      </c>
      <c r="AP90" s="25">
        <v>64968</v>
      </c>
      <c r="AQ90" s="25">
        <v>17453</v>
      </c>
      <c r="AR90" s="25">
        <v>0</v>
      </c>
      <c r="AS90" s="25">
        <v>7297</v>
      </c>
      <c r="AT90" s="25">
        <v>5302</v>
      </c>
      <c r="AU90" s="25">
        <v>11093</v>
      </c>
      <c r="AV90" s="25">
        <v>53767</v>
      </c>
      <c r="AW90" s="25">
        <v>19879</v>
      </c>
      <c r="AX90" s="25">
        <v>44915</v>
      </c>
      <c r="AY90" s="25">
        <v>26136</v>
      </c>
      <c r="AZ90" s="25">
        <v>0</v>
      </c>
      <c r="BA90" s="25">
        <v>0</v>
      </c>
      <c r="BB90" s="25">
        <v>1</v>
      </c>
      <c r="BC90" s="25">
        <v>0</v>
      </c>
      <c r="BD90" s="25">
        <v>6687</v>
      </c>
      <c r="BE90" s="25">
        <v>0</v>
      </c>
      <c r="BF90" s="25">
        <v>0</v>
      </c>
      <c r="BG90" s="18">
        <v>5000</v>
      </c>
      <c r="BH90" s="18">
        <v>0</v>
      </c>
      <c r="BI90" s="25">
        <v>0</v>
      </c>
      <c r="BJ90" s="25">
        <v>0</v>
      </c>
      <c r="BK90" s="25">
        <v>0</v>
      </c>
    </row>
    <row r="91" spans="1:63">
      <c r="A91" s="18">
        <v>5408</v>
      </c>
      <c r="B91" s="13" t="s">
        <v>111</v>
      </c>
      <c r="C91" s="25">
        <v>151503.51</v>
      </c>
      <c r="D91" s="25">
        <v>0</v>
      </c>
      <c r="E91" s="25">
        <v>-0.15</v>
      </c>
      <c r="F91" s="25">
        <f t="shared" si="1"/>
        <v>151503.36000000002</v>
      </c>
      <c r="G91" s="25">
        <v>3610414</v>
      </c>
      <c r="H91" s="25">
        <v>1282404</v>
      </c>
      <c r="I91" s="25">
        <v>128734</v>
      </c>
      <c r="J91" s="25">
        <v>0</v>
      </c>
      <c r="K91" s="25">
        <v>222000</v>
      </c>
      <c r="L91" s="25">
        <v>241297</v>
      </c>
      <c r="M91" s="25">
        <v>14472</v>
      </c>
      <c r="N91" s="25">
        <v>44068</v>
      </c>
      <c r="O91" s="25">
        <v>35508</v>
      </c>
      <c r="P91" s="25">
        <v>0</v>
      </c>
      <c r="Q91" s="25">
        <v>0</v>
      </c>
      <c r="R91" s="25">
        <v>77306</v>
      </c>
      <c r="S91" s="25">
        <v>400</v>
      </c>
      <c r="T91" s="25">
        <v>0</v>
      </c>
      <c r="U91" s="25">
        <v>0</v>
      </c>
      <c r="V91" s="25">
        <v>0</v>
      </c>
      <c r="W91" s="25">
        <v>23500</v>
      </c>
      <c r="X91" s="25">
        <v>2996968</v>
      </c>
      <c r="Y91" s="25">
        <v>18668</v>
      </c>
      <c r="Z91" s="25">
        <v>784475</v>
      </c>
      <c r="AA91" s="25">
        <v>148329</v>
      </c>
      <c r="AB91" s="25">
        <v>380859</v>
      </c>
      <c r="AC91" s="25">
        <v>0</v>
      </c>
      <c r="AD91" s="25">
        <v>8486</v>
      </c>
      <c r="AE91" s="25">
        <v>66997</v>
      </c>
      <c r="AF91" s="25">
        <v>44987</v>
      </c>
      <c r="AG91" s="25">
        <v>1090</v>
      </c>
      <c r="AH91" s="25">
        <v>11098</v>
      </c>
      <c r="AI91" s="25">
        <v>196046</v>
      </c>
      <c r="AJ91" s="25">
        <v>7819</v>
      </c>
      <c r="AK91" s="25">
        <v>85785</v>
      </c>
      <c r="AL91" s="25">
        <v>8720</v>
      </c>
      <c r="AM91" s="25">
        <v>88702</v>
      </c>
      <c r="AN91" s="25">
        <v>0</v>
      </c>
      <c r="AO91" s="25">
        <v>52698</v>
      </c>
      <c r="AP91" s="25">
        <v>222898</v>
      </c>
      <c r="AQ91" s="25">
        <v>96099</v>
      </c>
      <c r="AR91" s="25">
        <v>130901</v>
      </c>
      <c r="AS91" s="25">
        <v>118754</v>
      </c>
      <c r="AT91" s="25">
        <v>46792</v>
      </c>
      <c r="AU91" s="25">
        <v>0</v>
      </c>
      <c r="AV91" s="25">
        <v>99043</v>
      </c>
      <c r="AW91" s="25">
        <v>60775</v>
      </c>
      <c r="AX91" s="25">
        <v>70751</v>
      </c>
      <c r="AY91" s="25">
        <v>34061</v>
      </c>
      <c r="AZ91" s="25">
        <v>0</v>
      </c>
      <c r="BA91" s="25">
        <v>0</v>
      </c>
      <c r="BB91" s="25">
        <v>0</v>
      </c>
      <c r="BC91" s="25">
        <v>0</v>
      </c>
      <c r="BD91" s="25">
        <v>163724</v>
      </c>
      <c r="BE91" s="25">
        <v>0</v>
      </c>
      <c r="BF91" s="25">
        <v>0</v>
      </c>
      <c r="BG91" s="18">
        <v>5000</v>
      </c>
      <c r="BH91" s="18">
        <v>0</v>
      </c>
      <c r="BI91" s="25">
        <v>58025</v>
      </c>
      <c r="BJ91" s="25">
        <v>0</v>
      </c>
      <c r="BK91" s="25">
        <v>105698</v>
      </c>
    </row>
    <row r="92" spans="1:63">
      <c r="A92" s="18">
        <v>4003</v>
      </c>
      <c r="B92" s="18" t="s">
        <v>113</v>
      </c>
      <c r="C92" s="25">
        <v>241969.83</v>
      </c>
      <c r="D92" s="25">
        <v>0</v>
      </c>
      <c r="E92" s="25">
        <v>8029.73</v>
      </c>
      <c r="F92" s="25">
        <f t="shared" si="1"/>
        <v>249999.56</v>
      </c>
      <c r="G92" s="25">
        <v>4764278</v>
      </c>
      <c r="H92" s="25">
        <v>0</v>
      </c>
      <c r="I92" s="25">
        <v>212485</v>
      </c>
      <c r="J92" s="25">
        <v>0</v>
      </c>
      <c r="K92" s="25">
        <v>389816</v>
      </c>
      <c r="L92" s="25">
        <v>8586</v>
      </c>
      <c r="M92" s="25">
        <v>0</v>
      </c>
      <c r="N92" s="25">
        <v>44422</v>
      </c>
      <c r="O92" s="25">
        <v>0</v>
      </c>
      <c r="P92" s="25">
        <v>0</v>
      </c>
      <c r="Q92" s="25">
        <v>0</v>
      </c>
      <c r="R92" s="25">
        <v>14338</v>
      </c>
      <c r="S92" s="25">
        <v>0</v>
      </c>
      <c r="T92" s="25">
        <v>0</v>
      </c>
      <c r="U92" s="25">
        <v>0</v>
      </c>
      <c r="V92" s="25">
        <v>0</v>
      </c>
      <c r="W92" s="25">
        <v>29273</v>
      </c>
      <c r="X92" s="25">
        <v>2640036</v>
      </c>
      <c r="Y92" s="25">
        <v>0</v>
      </c>
      <c r="Z92" s="25">
        <v>773762</v>
      </c>
      <c r="AA92" s="25">
        <v>99912</v>
      </c>
      <c r="AB92" s="25">
        <v>402744</v>
      </c>
      <c r="AC92" s="25">
        <v>0</v>
      </c>
      <c r="AD92" s="25">
        <v>72578</v>
      </c>
      <c r="AE92" s="25">
        <v>91701</v>
      </c>
      <c r="AF92" s="25">
        <v>20893</v>
      </c>
      <c r="AG92" s="25">
        <v>1616</v>
      </c>
      <c r="AH92" s="25">
        <v>4583</v>
      </c>
      <c r="AI92" s="25">
        <v>94418</v>
      </c>
      <c r="AJ92" s="25">
        <v>8383</v>
      </c>
      <c r="AK92" s="25">
        <v>55304</v>
      </c>
      <c r="AL92" s="25">
        <v>5314</v>
      </c>
      <c r="AM92" s="25">
        <v>65711</v>
      </c>
      <c r="AN92" s="25">
        <v>55722</v>
      </c>
      <c r="AO92" s="25">
        <v>36429</v>
      </c>
      <c r="AP92" s="25">
        <v>155850</v>
      </c>
      <c r="AQ92" s="25">
        <v>77304</v>
      </c>
      <c r="AR92" s="25">
        <v>10708</v>
      </c>
      <c r="AS92" s="25">
        <v>61056</v>
      </c>
      <c r="AT92" s="25">
        <v>22679</v>
      </c>
      <c r="AU92" s="25">
        <v>0</v>
      </c>
      <c r="AV92" s="25">
        <v>65110</v>
      </c>
      <c r="AW92" s="25">
        <v>211865</v>
      </c>
      <c r="AX92" s="25">
        <v>64627</v>
      </c>
      <c r="AY92" s="25">
        <v>13320</v>
      </c>
      <c r="AZ92" s="25">
        <v>0</v>
      </c>
      <c r="BA92" s="25">
        <v>246000</v>
      </c>
      <c r="BB92" s="25">
        <v>0</v>
      </c>
      <c r="BC92" s="25">
        <v>0</v>
      </c>
      <c r="BD92" s="25">
        <v>17364</v>
      </c>
      <c r="BE92" s="25">
        <v>0</v>
      </c>
      <c r="BF92" s="25">
        <v>246000</v>
      </c>
      <c r="BG92" s="18">
        <v>5000</v>
      </c>
      <c r="BH92" s="18">
        <v>0</v>
      </c>
      <c r="BI92" s="25">
        <v>228573</v>
      </c>
      <c r="BJ92" s="25">
        <v>16814</v>
      </c>
      <c r="BK92" s="25">
        <v>23551</v>
      </c>
    </row>
    <row r="93" spans="1:63">
      <c r="A93" s="18">
        <v>5407</v>
      </c>
      <c r="B93" s="18" t="s">
        <v>114</v>
      </c>
      <c r="C93" s="25">
        <v>192677.07</v>
      </c>
      <c r="D93" s="25">
        <v>0</v>
      </c>
      <c r="E93" s="25">
        <v>0</v>
      </c>
      <c r="F93" s="25">
        <f t="shared" si="1"/>
        <v>192677.07</v>
      </c>
      <c r="G93" s="25">
        <v>4723505</v>
      </c>
      <c r="H93" s="25">
        <v>1175727</v>
      </c>
      <c r="I93" s="25">
        <v>199462</v>
      </c>
      <c r="J93" s="25">
        <v>0</v>
      </c>
      <c r="K93" s="25">
        <v>229706</v>
      </c>
      <c r="L93" s="25">
        <v>0</v>
      </c>
      <c r="M93" s="25">
        <v>0</v>
      </c>
      <c r="N93" s="25">
        <v>3575</v>
      </c>
      <c r="O93" s="25">
        <v>0</v>
      </c>
      <c r="P93" s="25">
        <v>0</v>
      </c>
      <c r="Q93" s="25">
        <v>0</v>
      </c>
      <c r="R93" s="25">
        <v>80440</v>
      </c>
      <c r="S93" s="25">
        <v>223858</v>
      </c>
      <c r="T93" s="25">
        <v>0</v>
      </c>
      <c r="U93" s="25">
        <v>0</v>
      </c>
      <c r="V93" s="25">
        <v>0</v>
      </c>
      <c r="W93" s="25">
        <v>8500</v>
      </c>
      <c r="X93" s="25">
        <v>3894397</v>
      </c>
      <c r="Y93" s="25">
        <v>0</v>
      </c>
      <c r="Z93" s="25">
        <v>772723</v>
      </c>
      <c r="AA93" s="25">
        <v>115597</v>
      </c>
      <c r="AB93" s="25">
        <v>388047</v>
      </c>
      <c r="AC93" s="25">
        <v>0</v>
      </c>
      <c r="AD93" s="25">
        <v>20423</v>
      </c>
      <c r="AE93" s="25">
        <v>44939</v>
      </c>
      <c r="AF93" s="25">
        <v>10367</v>
      </c>
      <c r="AG93" s="25">
        <v>1813</v>
      </c>
      <c r="AH93" s="25">
        <v>5373</v>
      </c>
      <c r="AI93" s="25">
        <v>67542</v>
      </c>
      <c r="AJ93" s="25">
        <v>13104</v>
      </c>
      <c r="AK93" s="25">
        <v>118034</v>
      </c>
      <c r="AL93" s="25">
        <v>10470</v>
      </c>
      <c r="AM93" s="25">
        <v>172415</v>
      </c>
      <c r="AN93" s="25">
        <v>0</v>
      </c>
      <c r="AO93" s="25">
        <v>29317</v>
      </c>
      <c r="AP93" s="25">
        <v>166356</v>
      </c>
      <c r="AQ93" s="25">
        <v>50830</v>
      </c>
      <c r="AR93" s="25">
        <v>107960</v>
      </c>
      <c r="AS93" s="25">
        <v>277964</v>
      </c>
      <c r="AT93" s="25">
        <v>48165</v>
      </c>
      <c r="AU93" s="25">
        <v>0</v>
      </c>
      <c r="AV93" s="25">
        <v>39308</v>
      </c>
      <c r="AW93" s="25">
        <v>238764</v>
      </c>
      <c r="AX93" s="25">
        <v>185116</v>
      </c>
      <c r="AY93" s="25">
        <v>58884</v>
      </c>
      <c r="AZ93" s="25">
        <v>0</v>
      </c>
      <c r="BA93" s="25">
        <v>0</v>
      </c>
      <c r="BB93" s="25">
        <v>0</v>
      </c>
      <c r="BC93" s="25">
        <v>0</v>
      </c>
      <c r="BD93" s="25">
        <v>0</v>
      </c>
      <c r="BE93" s="25">
        <v>0</v>
      </c>
      <c r="BF93" s="25">
        <v>0</v>
      </c>
      <c r="BG93" s="18">
        <v>5000</v>
      </c>
      <c r="BH93" s="18">
        <v>0</v>
      </c>
      <c r="BI93" s="25">
        <v>0</v>
      </c>
      <c r="BJ93" s="25">
        <v>0</v>
      </c>
      <c r="BK93" s="25">
        <v>0</v>
      </c>
    </row>
    <row r="94" spans="1:63">
      <c r="A94" s="18">
        <v>5403</v>
      </c>
      <c r="B94" s="18" t="s">
        <v>115</v>
      </c>
      <c r="C94" s="25">
        <v>336975.69</v>
      </c>
      <c r="D94" s="25">
        <v>0</v>
      </c>
      <c r="E94" s="25">
        <v>0</v>
      </c>
      <c r="F94" s="25">
        <f t="shared" si="1"/>
        <v>336975.69</v>
      </c>
      <c r="G94" s="25">
        <v>1782428</v>
      </c>
      <c r="H94" s="25">
        <v>371644</v>
      </c>
      <c r="I94" s="25">
        <v>77238</v>
      </c>
      <c r="J94" s="25">
        <v>0</v>
      </c>
      <c r="K94" s="25">
        <v>118460</v>
      </c>
      <c r="L94" s="25">
        <v>0</v>
      </c>
      <c r="M94" s="25">
        <v>1000</v>
      </c>
      <c r="N94" s="25">
        <v>61486</v>
      </c>
      <c r="O94" s="25">
        <v>0</v>
      </c>
      <c r="P94" s="25">
        <v>0</v>
      </c>
      <c r="Q94" s="25">
        <v>0</v>
      </c>
      <c r="R94" s="25">
        <v>6262</v>
      </c>
      <c r="S94" s="25">
        <v>15476</v>
      </c>
      <c r="T94" s="25">
        <v>0</v>
      </c>
      <c r="U94" s="25">
        <v>0</v>
      </c>
      <c r="V94" s="25">
        <v>0</v>
      </c>
      <c r="W94" s="25">
        <v>0</v>
      </c>
      <c r="X94" s="25">
        <v>961766</v>
      </c>
      <c r="Y94" s="25">
        <v>300864</v>
      </c>
      <c r="Z94" s="25">
        <v>190176</v>
      </c>
      <c r="AA94" s="25">
        <v>68984</v>
      </c>
      <c r="AB94" s="25">
        <v>154862</v>
      </c>
      <c r="AC94" s="25">
        <v>0</v>
      </c>
      <c r="AD94" s="25">
        <v>22676</v>
      </c>
      <c r="AE94" s="25">
        <v>4736</v>
      </c>
      <c r="AF94" s="25">
        <v>9478</v>
      </c>
      <c r="AG94" s="25">
        <v>542</v>
      </c>
      <c r="AH94" s="25">
        <v>1995</v>
      </c>
      <c r="AI94" s="25">
        <v>15234</v>
      </c>
      <c r="AJ94" s="25">
        <v>5979</v>
      </c>
      <c r="AK94" s="25">
        <v>57992</v>
      </c>
      <c r="AL94" s="25">
        <v>10998</v>
      </c>
      <c r="AM94" s="25">
        <v>41735</v>
      </c>
      <c r="AN94" s="25">
        <v>0</v>
      </c>
      <c r="AO94" s="25">
        <v>12167</v>
      </c>
      <c r="AP94" s="25">
        <v>75904</v>
      </c>
      <c r="AQ94" s="25">
        <v>60807</v>
      </c>
      <c r="AR94" s="25">
        <v>45748</v>
      </c>
      <c r="AS94" s="25">
        <v>13289</v>
      </c>
      <c r="AT94" s="25">
        <v>21503</v>
      </c>
      <c r="AU94" s="25">
        <v>9</v>
      </c>
      <c r="AV94" s="25">
        <v>18423</v>
      </c>
      <c r="AW94" s="25">
        <v>174636</v>
      </c>
      <c r="AX94" s="25">
        <v>60335</v>
      </c>
      <c r="AY94" s="25">
        <v>26696</v>
      </c>
      <c r="AZ94" s="25">
        <v>0</v>
      </c>
      <c r="BA94" s="25">
        <v>0</v>
      </c>
      <c r="BB94" s="25">
        <v>-1</v>
      </c>
      <c r="BC94" s="25">
        <v>0</v>
      </c>
      <c r="BD94" s="25">
        <v>0</v>
      </c>
      <c r="BE94" s="25">
        <v>0</v>
      </c>
      <c r="BF94" s="25">
        <v>0</v>
      </c>
      <c r="BG94" s="18">
        <v>5000</v>
      </c>
      <c r="BH94" s="18">
        <v>0</v>
      </c>
      <c r="BI94" s="25">
        <v>0</v>
      </c>
      <c r="BJ94" s="25">
        <v>0</v>
      </c>
      <c r="BK94" s="25">
        <v>0</v>
      </c>
    </row>
    <row r="95" spans="1:63">
      <c r="A95" s="18">
        <v>5405</v>
      </c>
      <c r="B95" s="18" t="s">
        <v>112</v>
      </c>
      <c r="C95" s="25">
        <v>799374.03</v>
      </c>
      <c r="D95" s="25">
        <v>-11794</v>
      </c>
      <c r="E95" s="25">
        <v>0</v>
      </c>
      <c r="F95" s="25">
        <f t="shared" si="1"/>
        <v>787580.03</v>
      </c>
      <c r="G95" s="25">
        <v>4359896</v>
      </c>
      <c r="H95" s="25">
        <v>1504074</v>
      </c>
      <c r="I95" s="25">
        <v>255888</v>
      </c>
      <c r="J95" s="25">
        <v>0</v>
      </c>
      <c r="K95" s="25">
        <v>122954</v>
      </c>
      <c r="L95" s="25">
        <v>53977</v>
      </c>
      <c r="M95" s="25">
        <v>16199</v>
      </c>
      <c r="N95" s="25">
        <v>111326</v>
      </c>
      <c r="O95" s="25">
        <v>272096</v>
      </c>
      <c r="P95" s="25">
        <v>0</v>
      </c>
      <c r="Q95" s="25">
        <v>0</v>
      </c>
      <c r="R95" s="25">
        <v>112505</v>
      </c>
      <c r="S95" s="25">
        <v>0</v>
      </c>
      <c r="T95" s="25">
        <v>0</v>
      </c>
      <c r="U95" s="25">
        <v>-2357</v>
      </c>
      <c r="V95" s="25">
        <v>0</v>
      </c>
      <c r="W95" s="25">
        <v>5000</v>
      </c>
      <c r="X95" s="25">
        <v>3923967</v>
      </c>
      <c r="Y95" s="25">
        <v>45231</v>
      </c>
      <c r="Z95" s="25">
        <v>566949</v>
      </c>
      <c r="AA95" s="25">
        <v>92422</v>
      </c>
      <c r="AB95" s="25">
        <v>391874</v>
      </c>
      <c r="AC95" s="25">
        <v>0</v>
      </c>
      <c r="AD95" s="25">
        <v>5927</v>
      </c>
      <c r="AE95" s="25">
        <v>55557</v>
      </c>
      <c r="AF95" s="25">
        <v>36555</v>
      </c>
      <c r="AG95" s="25">
        <v>0</v>
      </c>
      <c r="AH95" s="25">
        <v>2500</v>
      </c>
      <c r="AI95" s="25">
        <v>218619</v>
      </c>
      <c r="AJ95" s="25">
        <v>50116</v>
      </c>
      <c r="AK95" s="25">
        <v>89777</v>
      </c>
      <c r="AL95" s="25">
        <v>5691</v>
      </c>
      <c r="AM95" s="25">
        <v>67961</v>
      </c>
      <c r="AN95" s="25">
        <v>0</v>
      </c>
      <c r="AO95" s="25">
        <v>26406</v>
      </c>
      <c r="AP95" s="25">
        <v>294257</v>
      </c>
      <c r="AQ95" s="25">
        <v>100050</v>
      </c>
      <c r="AR95" s="25">
        <v>114643</v>
      </c>
      <c r="AS95" s="25">
        <v>100695</v>
      </c>
      <c r="AT95" s="25">
        <v>41690</v>
      </c>
      <c r="AU95" s="25">
        <v>908</v>
      </c>
      <c r="AV95" s="25">
        <v>269699</v>
      </c>
      <c r="AW95" s="25">
        <v>2115</v>
      </c>
      <c r="AX95" s="25">
        <v>62829</v>
      </c>
      <c r="AY95" s="25">
        <v>29563</v>
      </c>
      <c r="AZ95" s="25">
        <v>0</v>
      </c>
      <c r="BA95" s="25">
        <v>283443</v>
      </c>
      <c r="BB95" s="25">
        <v>4813</v>
      </c>
      <c r="BC95" s="25">
        <v>15</v>
      </c>
      <c r="BD95" s="25">
        <v>0</v>
      </c>
      <c r="BE95" s="25">
        <v>0</v>
      </c>
      <c r="BF95" s="25">
        <v>283443</v>
      </c>
      <c r="BG95" s="18">
        <v>5000</v>
      </c>
      <c r="BH95" s="18">
        <v>0</v>
      </c>
      <c r="BI95" s="25">
        <v>200000</v>
      </c>
      <c r="BJ95" s="25">
        <v>0</v>
      </c>
      <c r="BK95" s="25">
        <v>24776</v>
      </c>
    </row>
    <row r="96" spans="1:63">
      <c r="A96" s="18">
        <v>5404</v>
      </c>
      <c r="B96" s="18" t="s">
        <v>116</v>
      </c>
      <c r="C96" s="25">
        <v>-6422.04</v>
      </c>
      <c r="D96" s="25">
        <v>0</v>
      </c>
      <c r="E96" s="25">
        <v>4442.66</v>
      </c>
      <c r="F96" s="25">
        <f t="shared" si="1"/>
        <v>-1979.38</v>
      </c>
      <c r="G96" s="25">
        <v>2762221</v>
      </c>
      <c r="H96" s="25">
        <v>1346493</v>
      </c>
      <c r="I96" s="25">
        <v>0</v>
      </c>
      <c r="J96" s="25">
        <v>0</v>
      </c>
      <c r="K96" s="25">
        <v>35531</v>
      </c>
      <c r="L96" s="25">
        <v>5745</v>
      </c>
      <c r="M96" s="25">
        <v>915</v>
      </c>
      <c r="N96" s="25">
        <v>34505</v>
      </c>
      <c r="O96" s="25">
        <v>102932</v>
      </c>
      <c r="P96" s="25">
        <v>0</v>
      </c>
      <c r="Q96" s="25">
        <v>0</v>
      </c>
      <c r="R96" s="25">
        <v>14434</v>
      </c>
      <c r="S96" s="25">
        <v>109810</v>
      </c>
      <c r="T96" s="25">
        <v>0</v>
      </c>
      <c r="U96" s="25">
        <v>0</v>
      </c>
      <c r="V96" s="25">
        <v>0</v>
      </c>
      <c r="W96" s="25">
        <v>0</v>
      </c>
      <c r="X96" s="25">
        <v>2765806</v>
      </c>
      <c r="Y96" s="25">
        <v>33985</v>
      </c>
      <c r="Z96" s="25">
        <v>162951</v>
      </c>
      <c r="AA96" s="25">
        <v>138254</v>
      </c>
      <c r="AB96" s="25">
        <v>408493</v>
      </c>
      <c r="AC96" s="25">
        <v>61557</v>
      </c>
      <c r="AD96" s="25">
        <v>10424</v>
      </c>
      <c r="AE96" s="25">
        <v>73914</v>
      </c>
      <c r="AF96" s="25">
        <v>12503</v>
      </c>
      <c r="AG96" s="25">
        <v>-4440</v>
      </c>
      <c r="AH96" s="25">
        <v>4508</v>
      </c>
      <c r="AI96" s="25">
        <v>41450</v>
      </c>
      <c r="AJ96" s="25">
        <v>11597</v>
      </c>
      <c r="AK96" s="25">
        <v>12418</v>
      </c>
      <c r="AL96" s="25">
        <v>4851</v>
      </c>
      <c r="AM96" s="25">
        <v>54214</v>
      </c>
      <c r="AN96" s="25">
        <v>0</v>
      </c>
      <c r="AO96" s="25">
        <v>40928</v>
      </c>
      <c r="AP96" s="25">
        <v>161452</v>
      </c>
      <c r="AQ96" s="25">
        <v>39094</v>
      </c>
      <c r="AR96" s="25">
        <v>99468</v>
      </c>
      <c r="AS96" s="25">
        <v>15718</v>
      </c>
      <c r="AT96" s="25">
        <v>28913</v>
      </c>
      <c r="AU96" s="25">
        <v>2626</v>
      </c>
      <c r="AV96" s="25">
        <v>46382</v>
      </c>
      <c r="AW96" s="25">
        <v>24006</v>
      </c>
      <c r="AX96" s="25">
        <v>20682</v>
      </c>
      <c r="AY96" s="25">
        <v>86339</v>
      </c>
      <c r="AZ96" s="25">
        <v>0</v>
      </c>
      <c r="BA96" s="25">
        <v>0</v>
      </c>
      <c r="BB96" s="25">
        <v>0</v>
      </c>
      <c r="BC96" s="25">
        <v>0</v>
      </c>
      <c r="BD96" s="25">
        <v>0</v>
      </c>
      <c r="BE96" s="25">
        <v>0</v>
      </c>
      <c r="BF96" s="25">
        <v>0</v>
      </c>
      <c r="BG96" s="18">
        <v>5000</v>
      </c>
      <c r="BH96" s="18">
        <v>0</v>
      </c>
      <c r="BI96" s="25">
        <v>0</v>
      </c>
      <c r="BJ96" s="25">
        <v>0</v>
      </c>
      <c r="BK96" s="25">
        <v>0</v>
      </c>
    </row>
    <row r="97" spans="1:63">
      <c r="A97" s="18">
        <v>5427</v>
      </c>
      <c r="B97" s="18" t="s">
        <v>122</v>
      </c>
      <c r="C97" s="25">
        <v>172335.48</v>
      </c>
      <c r="D97" s="25">
        <v>0</v>
      </c>
      <c r="E97" s="25">
        <v>0</v>
      </c>
      <c r="F97" s="25">
        <f t="shared" si="1"/>
        <v>172335.48</v>
      </c>
      <c r="G97" s="25">
        <v>5061307</v>
      </c>
      <c r="H97" s="25">
        <v>393632</v>
      </c>
      <c r="I97" s="25">
        <v>886948</v>
      </c>
      <c r="J97" s="25">
        <v>0</v>
      </c>
      <c r="K97" s="25">
        <v>71089</v>
      </c>
      <c r="L97" s="25">
        <v>130221</v>
      </c>
      <c r="M97" s="25">
        <v>-1521</v>
      </c>
      <c r="N97" s="25">
        <v>2365</v>
      </c>
      <c r="O97" s="25">
        <v>31096</v>
      </c>
      <c r="P97" s="25">
        <v>30438</v>
      </c>
      <c r="Q97" s="25">
        <v>1287</v>
      </c>
      <c r="R97" s="25">
        <v>642005</v>
      </c>
      <c r="S97" s="25">
        <v>767421</v>
      </c>
      <c r="T97" s="25">
        <v>0</v>
      </c>
      <c r="U97" s="25">
        <v>0</v>
      </c>
      <c r="V97" s="25">
        <v>0</v>
      </c>
      <c r="W97" s="25">
        <v>0</v>
      </c>
      <c r="X97" s="25">
        <v>3685216</v>
      </c>
      <c r="Y97" s="25">
        <v>2902</v>
      </c>
      <c r="Z97" s="25">
        <v>1144451</v>
      </c>
      <c r="AA97" s="25">
        <v>125192</v>
      </c>
      <c r="AB97" s="25">
        <v>438326</v>
      </c>
      <c r="AC97" s="25">
        <v>0</v>
      </c>
      <c r="AD97" s="25">
        <v>90512</v>
      </c>
      <c r="AE97" s="25">
        <v>131070</v>
      </c>
      <c r="AF97" s="25">
        <v>37351</v>
      </c>
      <c r="AG97" s="25">
        <v>41668</v>
      </c>
      <c r="AH97" s="25">
        <v>0</v>
      </c>
      <c r="AI97" s="25">
        <v>168653</v>
      </c>
      <c r="AJ97" s="25">
        <v>27484</v>
      </c>
      <c r="AK97" s="25">
        <v>101795</v>
      </c>
      <c r="AL97" s="25">
        <v>7701</v>
      </c>
      <c r="AM97" s="25">
        <v>128345</v>
      </c>
      <c r="AN97" s="25">
        <v>0</v>
      </c>
      <c r="AO97" s="25">
        <v>99302</v>
      </c>
      <c r="AP97" s="25">
        <v>568471</v>
      </c>
      <c r="AQ97" s="25">
        <v>112519</v>
      </c>
      <c r="AR97" s="25">
        <v>86373</v>
      </c>
      <c r="AS97" s="25">
        <v>72913</v>
      </c>
      <c r="AT97" s="25">
        <v>51570</v>
      </c>
      <c r="AU97" s="25">
        <v>0</v>
      </c>
      <c r="AV97" s="25">
        <v>25951</v>
      </c>
      <c r="AW97" s="25">
        <v>160275</v>
      </c>
      <c r="AX97" s="25">
        <v>319035</v>
      </c>
      <c r="AY97" s="25">
        <v>366413</v>
      </c>
      <c r="AZ97" s="25">
        <v>0</v>
      </c>
      <c r="BA97" s="25">
        <v>0</v>
      </c>
      <c r="BB97" s="25">
        <v>-1</v>
      </c>
      <c r="BC97" s="25">
        <v>0</v>
      </c>
      <c r="BD97" s="25">
        <v>0</v>
      </c>
      <c r="BE97" s="25">
        <v>0</v>
      </c>
      <c r="BF97" s="25">
        <v>0</v>
      </c>
      <c r="BG97" s="18">
        <v>5000</v>
      </c>
      <c r="BH97" s="18">
        <v>0</v>
      </c>
      <c r="BI97" s="25">
        <v>0</v>
      </c>
      <c r="BJ97" s="25">
        <v>0</v>
      </c>
      <c r="BK97" s="25">
        <v>0</v>
      </c>
    </row>
    <row r="98" spans="1:63">
      <c r="A98" s="18">
        <v>7010</v>
      </c>
      <c r="B98" s="18" t="s">
        <v>117</v>
      </c>
      <c r="C98" s="25">
        <v>58904.790000000008</v>
      </c>
      <c r="D98" s="25">
        <v>179077</v>
      </c>
      <c r="E98" s="25">
        <v>8200.83</v>
      </c>
      <c r="F98" s="25">
        <f t="shared" si="1"/>
        <v>246182.62</v>
      </c>
      <c r="G98" s="25">
        <v>678561</v>
      </c>
      <c r="H98" s="25">
        <v>140513</v>
      </c>
      <c r="I98" s="25">
        <v>1510563</v>
      </c>
      <c r="J98" s="25">
        <v>0</v>
      </c>
      <c r="K98" s="25">
        <v>26180</v>
      </c>
      <c r="L98" s="25">
        <v>37555</v>
      </c>
      <c r="M98" s="25">
        <v>12626</v>
      </c>
      <c r="N98" s="25">
        <v>12991</v>
      </c>
      <c r="O98" s="25">
        <v>13460</v>
      </c>
      <c r="P98" s="25">
        <v>10143</v>
      </c>
      <c r="Q98" s="25">
        <v>7913</v>
      </c>
      <c r="R98" s="25">
        <v>0</v>
      </c>
      <c r="S98" s="25">
        <v>673</v>
      </c>
      <c r="T98" s="25">
        <v>0</v>
      </c>
      <c r="U98" s="25">
        <v>170000</v>
      </c>
      <c r="V98" s="25">
        <v>42843</v>
      </c>
      <c r="W98" s="25">
        <v>4500</v>
      </c>
      <c r="X98" s="25">
        <v>992514</v>
      </c>
      <c r="Y98" s="25">
        <v>0</v>
      </c>
      <c r="Z98" s="25">
        <v>965900</v>
      </c>
      <c r="AA98" s="25">
        <v>64404</v>
      </c>
      <c r="AB98" s="25">
        <v>28159</v>
      </c>
      <c r="AC98" s="25">
        <v>0</v>
      </c>
      <c r="AD98" s="25">
        <v>61707</v>
      </c>
      <c r="AE98" s="25">
        <v>24563</v>
      </c>
      <c r="AF98" s="25">
        <v>14787</v>
      </c>
      <c r="AG98" s="25">
        <v>26089</v>
      </c>
      <c r="AH98" s="25">
        <v>281</v>
      </c>
      <c r="AI98" s="25">
        <v>68865</v>
      </c>
      <c r="AJ98" s="25">
        <v>2825</v>
      </c>
      <c r="AK98" s="25">
        <v>2895</v>
      </c>
      <c r="AL98" s="25">
        <v>6439</v>
      </c>
      <c r="AM98" s="25">
        <v>20104</v>
      </c>
      <c r="AN98" s="25">
        <v>0</v>
      </c>
      <c r="AO98" s="25">
        <v>14292</v>
      </c>
      <c r="AP98" s="25">
        <v>73754</v>
      </c>
      <c r="AQ98" s="25">
        <v>18858</v>
      </c>
      <c r="AR98" s="25">
        <v>976</v>
      </c>
      <c r="AS98" s="25">
        <v>9602</v>
      </c>
      <c r="AT98" s="25">
        <v>7548</v>
      </c>
      <c r="AU98" s="25">
        <v>0</v>
      </c>
      <c r="AV98" s="25">
        <v>21046</v>
      </c>
      <c r="AW98" s="25">
        <v>0</v>
      </c>
      <c r="AX98" s="25">
        <v>6492</v>
      </c>
      <c r="AY98" s="25">
        <v>26497</v>
      </c>
      <c r="AZ98" s="25">
        <v>0</v>
      </c>
      <c r="BA98" s="25">
        <v>10230</v>
      </c>
      <c r="BB98" s="25">
        <v>158421</v>
      </c>
      <c r="BC98" s="25">
        <v>26381</v>
      </c>
      <c r="BD98" s="25">
        <v>6193</v>
      </c>
      <c r="BE98" s="25">
        <v>287</v>
      </c>
      <c r="BF98" s="25">
        <v>10230</v>
      </c>
      <c r="BG98" s="18">
        <v>5000</v>
      </c>
      <c r="BH98" s="18">
        <v>0</v>
      </c>
      <c r="BI98" s="25">
        <v>-1107</v>
      </c>
      <c r="BJ98" s="25">
        <v>16397</v>
      </c>
      <c r="BK98" s="25">
        <v>9621</v>
      </c>
    </row>
    <row r="99" spans="1:63">
      <c r="A99" s="18">
        <v>7005</v>
      </c>
      <c r="B99" s="18" t="s">
        <v>118</v>
      </c>
      <c r="C99" s="25">
        <v>53934.51</v>
      </c>
      <c r="D99" s="25">
        <v>0</v>
      </c>
      <c r="E99" s="25">
        <v>13836.09</v>
      </c>
      <c r="F99" s="25">
        <f t="shared" si="1"/>
        <v>67770.600000000006</v>
      </c>
      <c r="G99" s="25">
        <v>953754</v>
      </c>
      <c r="H99" s="25">
        <v>0</v>
      </c>
      <c r="I99" s="25">
        <v>899696</v>
      </c>
      <c r="J99" s="25">
        <v>0</v>
      </c>
      <c r="K99" s="25">
        <v>62181</v>
      </c>
      <c r="L99" s="25">
        <v>36430</v>
      </c>
      <c r="M99" s="25">
        <v>1014</v>
      </c>
      <c r="N99" s="25">
        <v>37569</v>
      </c>
      <c r="O99" s="25">
        <v>9508</v>
      </c>
      <c r="P99" s="25">
        <v>3881</v>
      </c>
      <c r="Q99" s="25">
        <v>4099</v>
      </c>
      <c r="R99" s="25">
        <v>0</v>
      </c>
      <c r="S99" s="25">
        <v>205</v>
      </c>
      <c r="T99" s="25">
        <v>0</v>
      </c>
      <c r="U99" s="25">
        <v>0</v>
      </c>
      <c r="V99" s="25">
        <v>821</v>
      </c>
      <c r="W99" s="25">
        <v>14592</v>
      </c>
      <c r="X99" s="25">
        <v>774589</v>
      </c>
      <c r="Y99" s="25">
        <v>0</v>
      </c>
      <c r="Z99" s="25">
        <v>718445</v>
      </c>
      <c r="AA99" s="25">
        <v>18822</v>
      </c>
      <c r="AB99" s="25">
        <v>53817</v>
      </c>
      <c r="AC99" s="25">
        <v>0</v>
      </c>
      <c r="AD99" s="25">
        <v>11347</v>
      </c>
      <c r="AE99" s="25">
        <v>17826</v>
      </c>
      <c r="AF99" s="25">
        <v>28759</v>
      </c>
      <c r="AG99" s="25">
        <v>18241</v>
      </c>
      <c r="AH99" s="25">
        <v>-57</v>
      </c>
      <c r="AI99" s="25">
        <v>45622</v>
      </c>
      <c r="AJ99" s="25">
        <v>3432</v>
      </c>
      <c r="AK99" s="25">
        <v>17935</v>
      </c>
      <c r="AL99" s="25">
        <v>5651</v>
      </c>
      <c r="AM99" s="25">
        <v>39175</v>
      </c>
      <c r="AN99" s="25">
        <v>0</v>
      </c>
      <c r="AO99" s="25">
        <v>5155</v>
      </c>
      <c r="AP99" s="25">
        <v>36750</v>
      </c>
      <c r="AQ99" s="25">
        <v>14444</v>
      </c>
      <c r="AR99" s="25">
        <v>0</v>
      </c>
      <c r="AS99" s="25">
        <v>4988</v>
      </c>
      <c r="AT99" s="25">
        <v>4923</v>
      </c>
      <c r="AU99" s="25">
        <v>23</v>
      </c>
      <c r="AV99" s="25">
        <v>24438</v>
      </c>
      <c r="AW99" s="25">
        <v>13495</v>
      </c>
      <c r="AX99" s="25">
        <v>96889</v>
      </c>
      <c r="AY99" s="25">
        <v>35305</v>
      </c>
      <c r="AZ99" s="25">
        <v>0</v>
      </c>
      <c r="BA99" s="25">
        <v>0</v>
      </c>
      <c r="BB99" s="25">
        <v>-1</v>
      </c>
      <c r="BC99" s="25">
        <v>0</v>
      </c>
      <c r="BD99" s="25">
        <v>7037</v>
      </c>
      <c r="BE99" s="25">
        <v>0</v>
      </c>
      <c r="BF99" s="25">
        <v>0</v>
      </c>
      <c r="BG99" s="18">
        <v>5000</v>
      </c>
      <c r="BH99" s="18">
        <v>0</v>
      </c>
      <c r="BI99" s="25">
        <v>6605</v>
      </c>
      <c r="BJ99" s="25">
        <v>0</v>
      </c>
      <c r="BK99" s="25">
        <v>0</v>
      </c>
    </row>
    <row r="100" spans="1:63">
      <c r="A100" s="18">
        <v>7000</v>
      </c>
      <c r="B100" s="18" t="s">
        <v>119</v>
      </c>
      <c r="C100" s="25">
        <v>384016.75</v>
      </c>
      <c r="D100" s="25">
        <v>0</v>
      </c>
      <c r="E100" s="25">
        <v>-0.24</v>
      </c>
      <c r="F100" s="25">
        <f t="shared" si="1"/>
        <v>384016.51</v>
      </c>
      <c r="G100" s="25">
        <v>1218014</v>
      </c>
      <c r="H100" s="25">
        <v>516986</v>
      </c>
      <c r="I100" s="25">
        <v>1521834</v>
      </c>
      <c r="J100" s="25">
        <v>0</v>
      </c>
      <c r="K100" s="25">
        <v>51425</v>
      </c>
      <c r="L100" s="25">
        <v>63384</v>
      </c>
      <c r="M100" s="25">
        <v>277538</v>
      </c>
      <c r="N100" s="25">
        <v>81104</v>
      </c>
      <c r="O100" s="25">
        <v>25364</v>
      </c>
      <c r="P100" s="25">
        <v>0</v>
      </c>
      <c r="Q100" s="25">
        <v>2271</v>
      </c>
      <c r="R100" s="25">
        <v>22882</v>
      </c>
      <c r="S100" s="25">
        <v>21151</v>
      </c>
      <c r="T100" s="25">
        <v>0</v>
      </c>
      <c r="U100" s="25">
        <v>0</v>
      </c>
      <c r="V100" s="25">
        <v>0</v>
      </c>
      <c r="W100" s="25">
        <v>6000</v>
      </c>
      <c r="X100" s="25">
        <v>1838503</v>
      </c>
      <c r="Y100" s="25">
        <v>0</v>
      </c>
      <c r="Z100" s="25">
        <v>951032</v>
      </c>
      <c r="AA100" s="25">
        <v>56573</v>
      </c>
      <c r="AB100" s="25">
        <v>133279</v>
      </c>
      <c r="AC100" s="25">
        <v>7258</v>
      </c>
      <c r="AD100" s="25">
        <v>-89608</v>
      </c>
      <c r="AE100" s="25">
        <v>30666</v>
      </c>
      <c r="AF100" s="25">
        <v>16907</v>
      </c>
      <c r="AG100" s="25">
        <v>0</v>
      </c>
      <c r="AH100" s="25">
        <v>1009</v>
      </c>
      <c r="AI100" s="25">
        <v>42470</v>
      </c>
      <c r="AJ100" s="25">
        <v>3420</v>
      </c>
      <c r="AK100" s="25">
        <v>26564</v>
      </c>
      <c r="AL100" s="25">
        <v>5955</v>
      </c>
      <c r="AM100" s="25">
        <v>28572</v>
      </c>
      <c r="AN100" s="25">
        <v>0</v>
      </c>
      <c r="AO100" s="25">
        <v>10212</v>
      </c>
      <c r="AP100" s="25">
        <v>146567</v>
      </c>
      <c r="AQ100" s="25">
        <v>26808</v>
      </c>
      <c r="AR100" s="25">
        <v>5994</v>
      </c>
      <c r="AS100" s="25">
        <v>22993</v>
      </c>
      <c r="AT100" s="25">
        <v>8611</v>
      </c>
      <c r="AU100" s="25">
        <v>10264</v>
      </c>
      <c r="AV100" s="25">
        <v>41956</v>
      </c>
      <c r="AW100" s="25">
        <v>30104</v>
      </c>
      <c r="AX100" s="25">
        <v>529957</v>
      </c>
      <c r="AY100" s="25">
        <v>30190</v>
      </c>
      <c r="AZ100" s="25">
        <v>0</v>
      </c>
      <c r="BA100" s="25">
        <v>115859</v>
      </c>
      <c r="BB100" s="25">
        <v>0</v>
      </c>
      <c r="BC100" s="25">
        <v>0</v>
      </c>
      <c r="BD100" s="25">
        <v>9672</v>
      </c>
      <c r="BE100" s="25">
        <v>0</v>
      </c>
      <c r="BF100" s="25">
        <v>115859</v>
      </c>
      <c r="BG100" s="18">
        <v>5000</v>
      </c>
      <c r="BH100" s="18">
        <v>0</v>
      </c>
      <c r="BI100" s="25">
        <v>0</v>
      </c>
      <c r="BJ100" s="25">
        <v>98211</v>
      </c>
      <c r="BK100" s="25">
        <v>27317</v>
      </c>
    </row>
    <row r="101" spans="1:63">
      <c r="A101" s="18">
        <v>7009</v>
      </c>
      <c r="B101" s="18" t="s">
        <v>120</v>
      </c>
      <c r="C101" s="25">
        <v>25974.15</v>
      </c>
      <c r="D101" s="25">
        <v>0</v>
      </c>
      <c r="E101" s="25">
        <v>18175.27</v>
      </c>
      <c r="F101" s="25">
        <f t="shared" si="1"/>
        <v>44149.42</v>
      </c>
      <c r="G101" s="25">
        <v>977118</v>
      </c>
      <c r="H101" s="25">
        <v>0</v>
      </c>
      <c r="I101" s="25">
        <v>1670412</v>
      </c>
      <c r="J101" s="25">
        <v>0</v>
      </c>
      <c r="K101" s="25">
        <v>33652</v>
      </c>
      <c r="L101" s="25">
        <v>175083</v>
      </c>
      <c r="M101" s="25">
        <v>2138</v>
      </c>
      <c r="N101" s="25">
        <v>41873</v>
      </c>
      <c r="O101" s="25">
        <v>5636</v>
      </c>
      <c r="P101" s="25">
        <v>10229</v>
      </c>
      <c r="Q101" s="25">
        <v>16585</v>
      </c>
      <c r="R101" s="25">
        <v>3343</v>
      </c>
      <c r="S101" s="25">
        <v>7145</v>
      </c>
      <c r="T101" s="25">
        <v>42602</v>
      </c>
      <c r="U101" s="25">
        <v>0</v>
      </c>
      <c r="V101" s="25">
        <v>0</v>
      </c>
      <c r="W101" s="25">
        <v>14840</v>
      </c>
      <c r="X101" s="25">
        <v>1171429</v>
      </c>
      <c r="Y101" s="25">
        <v>0</v>
      </c>
      <c r="Z101" s="25">
        <v>944376</v>
      </c>
      <c r="AA101" s="25">
        <v>33878</v>
      </c>
      <c r="AB101" s="25">
        <v>62568</v>
      </c>
      <c r="AC101" s="25">
        <v>5063</v>
      </c>
      <c r="AD101" s="25">
        <v>57369</v>
      </c>
      <c r="AE101" s="25">
        <v>26377</v>
      </c>
      <c r="AF101" s="25">
        <v>12295</v>
      </c>
      <c r="AG101" s="25">
        <v>15509</v>
      </c>
      <c r="AH101" s="25">
        <v>9684</v>
      </c>
      <c r="AI101" s="25">
        <v>36574</v>
      </c>
      <c r="AJ101" s="25">
        <v>0</v>
      </c>
      <c r="AK101" s="25">
        <v>27178</v>
      </c>
      <c r="AL101" s="25">
        <v>3081</v>
      </c>
      <c r="AM101" s="25">
        <v>25024</v>
      </c>
      <c r="AN101" s="25">
        <v>0</v>
      </c>
      <c r="AO101" s="25">
        <v>13552</v>
      </c>
      <c r="AP101" s="25">
        <v>83572</v>
      </c>
      <c r="AQ101" s="25">
        <v>30241</v>
      </c>
      <c r="AR101" s="25">
        <v>0</v>
      </c>
      <c r="AS101" s="25">
        <v>27654</v>
      </c>
      <c r="AT101" s="25">
        <v>2678</v>
      </c>
      <c r="AU101" s="25">
        <v>29348</v>
      </c>
      <c r="AV101" s="25">
        <v>16931</v>
      </c>
      <c r="AW101" s="25">
        <v>0</v>
      </c>
      <c r="AX101" s="25">
        <v>300721</v>
      </c>
      <c r="AY101" s="25">
        <v>46299</v>
      </c>
      <c r="AZ101" s="25">
        <v>0</v>
      </c>
      <c r="BA101" s="25">
        <v>5712</v>
      </c>
      <c r="BB101" s="25">
        <v>1</v>
      </c>
      <c r="BC101" s="25">
        <v>0</v>
      </c>
      <c r="BD101" s="25">
        <v>6768</v>
      </c>
      <c r="BE101" s="25">
        <v>64982</v>
      </c>
      <c r="BF101" s="25">
        <v>5712</v>
      </c>
      <c r="BG101" s="18">
        <v>5000</v>
      </c>
      <c r="BH101" s="18">
        <v>0</v>
      </c>
      <c r="BI101" s="25">
        <v>76932</v>
      </c>
      <c r="BJ101" s="25">
        <v>9494</v>
      </c>
      <c r="BK101" s="25">
        <v>9212</v>
      </c>
    </row>
    <row r="102" spans="1:63">
      <c r="A102" s="18">
        <v>1103</v>
      </c>
      <c r="B102" s="18" t="s">
        <v>309</v>
      </c>
      <c r="C102" s="25">
        <v>0</v>
      </c>
      <c r="D102" s="25">
        <v>0</v>
      </c>
      <c r="E102" s="25">
        <v>0</v>
      </c>
      <c r="F102" s="25">
        <f t="shared" si="1"/>
        <v>0</v>
      </c>
      <c r="G102" s="25">
        <v>307161</v>
      </c>
      <c r="H102" s="25">
        <v>0</v>
      </c>
      <c r="I102" s="25">
        <v>107295</v>
      </c>
      <c r="J102" s="25">
        <v>0</v>
      </c>
      <c r="K102" s="25">
        <v>0</v>
      </c>
      <c r="L102" s="25">
        <v>0</v>
      </c>
      <c r="M102" s="25">
        <v>0</v>
      </c>
      <c r="N102" s="25">
        <v>7365</v>
      </c>
      <c r="O102" s="25">
        <v>0</v>
      </c>
      <c r="P102" s="25">
        <v>0</v>
      </c>
      <c r="Q102" s="25">
        <v>0</v>
      </c>
      <c r="R102" s="25">
        <v>0</v>
      </c>
      <c r="S102" s="25">
        <v>0</v>
      </c>
      <c r="T102" s="25">
        <v>0</v>
      </c>
      <c r="U102" s="25">
        <v>0</v>
      </c>
      <c r="V102" s="25">
        <v>0</v>
      </c>
      <c r="W102" s="25">
        <v>0</v>
      </c>
      <c r="X102" s="25">
        <v>230919</v>
      </c>
      <c r="Y102" s="25">
        <v>0</v>
      </c>
      <c r="Z102" s="25">
        <v>34410</v>
      </c>
      <c r="AA102" s="25">
        <v>0</v>
      </c>
      <c r="AB102" s="25">
        <v>0</v>
      </c>
      <c r="AC102" s="25">
        <v>0</v>
      </c>
      <c r="AD102" s="25">
        <v>0</v>
      </c>
      <c r="AE102" s="25">
        <v>3963</v>
      </c>
      <c r="AF102" s="25">
        <v>1202</v>
      </c>
      <c r="AG102" s="25">
        <v>0</v>
      </c>
      <c r="AH102" s="25">
        <v>0</v>
      </c>
      <c r="AI102" s="25">
        <v>304</v>
      </c>
      <c r="AJ102" s="25">
        <v>0</v>
      </c>
      <c r="AK102" s="25">
        <v>0</v>
      </c>
      <c r="AL102" s="25">
        <v>0</v>
      </c>
      <c r="AM102" s="25">
        <v>0</v>
      </c>
      <c r="AN102" s="25">
        <v>0</v>
      </c>
      <c r="AO102" s="25">
        <v>600</v>
      </c>
      <c r="AP102" s="25">
        <v>3015</v>
      </c>
      <c r="AQ102" s="25">
        <v>4214</v>
      </c>
      <c r="AR102" s="25">
        <v>278</v>
      </c>
      <c r="AS102" s="25">
        <v>11749</v>
      </c>
      <c r="AT102" s="25">
        <v>0</v>
      </c>
      <c r="AU102" s="25">
        <v>10631</v>
      </c>
      <c r="AV102" s="25">
        <v>87</v>
      </c>
      <c r="AW102" s="25">
        <v>98363</v>
      </c>
      <c r="AX102" s="25">
        <v>7555</v>
      </c>
      <c r="AY102" s="25">
        <v>13447</v>
      </c>
      <c r="AZ102" s="25">
        <v>0</v>
      </c>
      <c r="BA102" s="25">
        <v>0</v>
      </c>
      <c r="BB102" s="25">
        <v>0</v>
      </c>
      <c r="BC102" s="25">
        <v>0</v>
      </c>
      <c r="BD102" s="25">
        <v>2333</v>
      </c>
      <c r="BE102" s="25">
        <v>0</v>
      </c>
      <c r="BF102" s="25">
        <v>0</v>
      </c>
      <c r="BG102" s="18">
        <v>5000</v>
      </c>
      <c r="BH102" s="18">
        <v>0</v>
      </c>
      <c r="BI102" s="25">
        <v>0</v>
      </c>
      <c r="BJ102" s="25">
        <v>0</v>
      </c>
      <c r="BK102" s="25">
        <v>3416</v>
      </c>
    </row>
    <row r="103" spans="1:63">
      <c r="A103" s="18">
        <v>1102</v>
      </c>
      <c r="B103" s="18" t="s">
        <v>310</v>
      </c>
      <c r="C103" s="25">
        <v>18976</v>
      </c>
      <c r="D103" s="25">
        <v>0</v>
      </c>
      <c r="E103" s="25">
        <v>0</v>
      </c>
      <c r="F103" s="25">
        <f t="shared" si="1"/>
        <v>18976</v>
      </c>
      <c r="G103" s="25">
        <v>380006</v>
      </c>
      <c r="H103" s="25">
        <v>0</v>
      </c>
      <c r="I103" s="25">
        <v>21974</v>
      </c>
      <c r="J103" s="25">
        <v>0</v>
      </c>
      <c r="K103" s="25">
        <v>2336</v>
      </c>
      <c r="L103" s="25">
        <v>55882</v>
      </c>
      <c r="M103" s="25">
        <v>1800</v>
      </c>
      <c r="N103" s="25">
        <v>0</v>
      </c>
      <c r="O103" s="25">
        <v>0</v>
      </c>
      <c r="P103" s="25">
        <v>0</v>
      </c>
      <c r="Q103" s="25">
        <v>0</v>
      </c>
      <c r="R103" s="25">
        <v>0</v>
      </c>
      <c r="S103" s="25">
        <v>0</v>
      </c>
      <c r="T103" s="25">
        <v>0</v>
      </c>
      <c r="U103" s="25">
        <v>0</v>
      </c>
      <c r="V103" s="25">
        <v>0</v>
      </c>
      <c r="W103" s="25">
        <v>0</v>
      </c>
      <c r="X103" s="25">
        <v>300389</v>
      </c>
      <c r="Y103" s="25">
        <v>0</v>
      </c>
      <c r="Z103" s="25">
        <v>41723</v>
      </c>
      <c r="AA103" s="25">
        <v>0</v>
      </c>
      <c r="AB103" s="25">
        <v>57190</v>
      </c>
      <c r="AC103" s="25">
        <v>0</v>
      </c>
      <c r="AD103" s="25">
        <v>0</v>
      </c>
      <c r="AE103" s="25">
        <v>147</v>
      </c>
      <c r="AF103" s="25">
        <v>988</v>
      </c>
      <c r="AG103" s="25">
        <v>0</v>
      </c>
      <c r="AH103" s="25">
        <v>0</v>
      </c>
      <c r="AI103" s="25">
        <v>480</v>
      </c>
      <c r="AJ103" s="25">
        <v>0</v>
      </c>
      <c r="AK103" s="25">
        <v>0</v>
      </c>
      <c r="AL103" s="25">
        <v>0</v>
      </c>
      <c r="AM103" s="25">
        <v>0</v>
      </c>
      <c r="AN103" s="25">
        <v>0</v>
      </c>
      <c r="AO103" s="25">
        <v>150</v>
      </c>
      <c r="AP103" s="25">
        <v>2417</v>
      </c>
      <c r="AQ103" s="25">
        <v>4740</v>
      </c>
      <c r="AR103" s="25">
        <v>994</v>
      </c>
      <c r="AS103" s="25">
        <v>14412</v>
      </c>
      <c r="AT103" s="25">
        <v>0</v>
      </c>
      <c r="AU103" s="25">
        <v>2</v>
      </c>
      <c r="AV103" s="25">
        <v>-931</v>
      </c>
      <c r="AW103" s="25">
        <v>0</v>
      </c>
      <c r="AX103" s="25">
        <v>44891</v>
      </c>
      <c r="AY103" s="25">
        <v>13205</v>
      </c>
      <c r="AZ103" s="25">
        <v>0</v>
      </c>
      <c r="BA103" s="25">
        <v>0</v>
      </c>
      <c r="BB103" s="25">
        <v>0</v>
      </c>
      <c r="BC103" s="25">
        <v>0</v>
      </c>
      <c r="BD103" s="25">
        <v>4744</v>
      </c>
      <c r="BE103" s="25">
        <v>0</v>
      </c>
      <c r="BF103" s="25">
        <v>0</v>
      </c>
      <c r="BG103" s="18">
        <v>5000</v>
      </c>
      <c r="BH103" s="18">
        <v>0</v>
      </c>
      <c r="BI103" s="25">
        <v>0</v>
      </c>
      <c r="BJ103" s="25">
        <v>0</v>
      </c>
      <c r="BK103" s="25">
        <v>0</v>
      </c>
    </row>
    <row r="104" spans="1:63">
      <c r="A104" s="18">
        <v>1100</v>
      </c>
      <c r="B104" s="18" t="s">
        <v>335</v>
      </c>
      <c r="C104" s="25">
        <v>80000</v>
      </c>
      <c r="D104" s="25">
        <v>0</v>
      </c>
      <c r="E104" s="25">
        <v>0</v>
      </c>
      <c r="F104" s="25">
        <f t="shared" si="1"/>
        <v>80000</v>
      </c>
      <c r="G104" s="25">
        <v>741673</v>
      </c>
      <c r="H104" s="25">
        <v>0</v>
      </c>
      <c r="I104" s="25">
        <v>824796</v>
      </c>
      <c r="J104" s="25">
        <v>0</v>
      </c>
      <c r="K104" s="25">
        <v>45358</v>
      </c>
      <c r="L104" s="25">
        <v>750</v>
      </c>
      <c r="M104" s="25">
        <v>2368</v>
      </c>
      <c r="N104" s="25">
        <v>26973</v>
      </c>
      <c r="O104" s="25">
        <v>170</v>
      </c>
      <c r="P104" s="25">
        <v>0</v>
      </c>
      <c r="Q104" s="25">
        <v>0</v>
      </c>
      <c r="R104" s="25">
        <v>435</v>
      </c>
      <c r="S104" s="25">
        <v>0</v>
      </c>
      <c r="T104" s="25">
        <v>0</v>
      </c>
      <c r="U104" s="25">
        <v>0</v>
      </c>
      <c r="V104" s="25">
        <v>0</v>
      </c>
      <c r="W104" s="25">
        <v>1167</v>
      </c>
      <c r="X104" s="25">
        <v>996163</v>
      </c>
      <c r="Y104" s="25">
        <v>0</v>
      </c>
      <c r="Z104" s="25">
        <v>243583</v>
      </c>
      <c r="AA104" s="25">
        <v>33081</v>
      </c>
      <c r="AB104" s="25">
        <v>26240</v>
      </c>
      <c r="AC104" s="25">
        <v>0</v>
      </c>
      <c r="AD104" s="25">
        <v>0</v>
      </c>
      <c r="AE104" s="25">
        <v>13741</v>
      </c>
      <c r="AF104" s="25">
        <v>6062</v>
      </c>
      <c r="AG104" s="25">
        <v>0</v>
      </c>
      <c r="AH104" s="25">
        <v>1454</v>
      </c>
      <c r="AI104" s="25">
        <v>2826</v>
      </c>
      <c r="AJ104" s="25">
        <v>3561</v>
      </c>
      <c r="AK104" s="25">
        <v>14140</v>
      </c>
      <c r="AL104" s="25">
        <v>1702</v>
      </c>
      <c r="AM104" s="25">
        <v>18304</v>
      </c>
      <c r="AN104" s="25">
        <v>0</v>
      </c>
      <c r="AO104" s="25">
        <v>7606</v>
      </c>
      <c r="AP104" s="25">
        <v>30721</v>
      </c>
      <c r="AQ104" s="25">
        <v>14824</v>
      </c>
      <c r="AR104" s="25">
        <v>4539</v>
      </c>
      <c r="AS104" s="25">
        <v>18999</v>
      </c>
      <c r="AT104" s="25">
        <v>1846</v>
      </c>
      <c r="AU104" s="25">
        <v>8376</v>
      </c>
      <c r="AV104" s="25">
        <v>30563</v>
      </c>
      <c r="AW104" s="25">
        <v>122893</v>
      </c>
      <c r="AX104" s="25">
        <v>26504</v>
      </c>
      <c r="AY104" s="25">
        <v>40726</v>
      </c>
      <c r="AZ104" s="25">
        <v>0</v>
      </c>
      <c r="BA104" s="25">
        <v>0</v>
      </c>
      <c r="BB104" s="25">
        <v>0</v>
      </c>
      <c r="BC104" s="25">
        <v>0</v>
      </c>
      <c r="BD104" s="25">
        <v>7794</v>
      </c>
      <c r="BE104" s="25">
        <v>0</v>
      </c>
      <c r="BF104" s="25">
        <v>0</v>
      </c>
      <c r="BG104" s="18">
        <v>5000</v>
      </c>
      <c r="BH104" s="18">
        <v>0</v>
      </c>
      <c r="BI104" s="25">
        <v>0</v>
      </c>
      <c r="BJ104" s="25">
        <v>0</v>
      </c>
      <c r="BK104" s="25">
        <v>3477</v>
      </c>
    </row>
    <row r="105" spans="1:63">
      <c r="A105" s="18"/>
      <c r="B105" s="18"/>
      <c r="C105" s="25"/>
      <c r="D105" s="18"/>
      <c r="E105" s="25"/>
      <c r="F105" s="25"/>
      <c r="G105" s="18"/>
      <c r="H105" s="18"/>
      <c r="I105" s="18"/>
      <c r="J105" s="25"/>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row>
    <row r="106" spans="1:63">
      <c r="A106" s="18"/>
      <c r="B106" s="18"/>
      <c r="C106" s="25"/>
      <c r="D106" s="18"/>
      <c r="E106" s="25"/>
      <c r="F106" s="25"/>
      <c r="G106" s="26">
        <v>153778681</v>
      </c>
      <c r="H106" s="26">
        <v>6731473</v>
      </c>
      <c r="I106" s="26">
        <v>15224208</v>
      </c>
      <c r="J106" s="26">
        <v>0</v>
      </c>
      <c r="K106" s="26">
        <v>10386074</v>
      </c>
      <c r="L106" s="26">
        <v>1387557</v>
      </c>
      <c r="M106" s="26">
        <v>891740</v>
      </c>
      <c r="N106" s="26">
        <v>4042322</v>
      </c>
      <c r="O106" s="26">
        <v>3629531</v>
      </c>
      <c r="P106" s="26">
        <v>788434</v>
      </c>
      <c r="Q106" s="26">
        <v>285467</v>
      </c>
      <c r="R106" s="26">
        <v>3187369</v>
      </c>
      <c r="S106" s="26">
        <v>2975329</v>
      </c>
      <c r="T106" s="26">
        <v>60802</v>
      </c>
      <c r="U106" s="26">
        <v>2768650</v>
      </c>
      <c r="V106" s="26">
        <v>396524</v>
      </c>
      <c r="W106" s="26">
        <v>3050498</v>
      </c>
      <c r="X106" s="26">
        <v>92095201</v>
      </c>
      <c r="Y106" s="26">
        <v>854646</v>
      </c>
      <c r="Z106" s="26">
        <v>38482451</v>
      </c>
      <c r="AA106" s="26">
        <v>4382544</v>
      </c>
      <c r="AB106" s="26">
        <v>8729434</v>
      </c>
      <c r="AC106" s="26">
        <v>366688</v>
      </c>
      <c r="AD106" s="26">
        <v>3542498</v>
      </c>
      <c r="AE106" s="26">
        <v>1727321</v>
      </c>
      <c r="AF106" s="26">
        <v>1035888</v>
      </c>
      <c r="AG106" s="26">
        <v>1139584</v>
      </c>
      <c r="AH106" s="26">
        <v>275556</v>
      </c>
      <c r="AI106" s="26">
        <v>4089954</v>
      </c>
      <c r="AJ106" s="26">
        <v>620964</v>
      </c>
      <c r="AK106" s="26">
        <v>2320369</v>
      </c>
      <c r="AL106" s="26">
        <v>373136</v>
      </c>
      <c r="AM106" s="26">
        <v>2602750</v>
      </c>
      <c r="AN106" s="26">
        <v>940668</v>
      </c>
      <c r="AO106" s="26">
        <v>1288380</v>
      </c>
      <c r="AP106" s="26">
        <v>8688275</v>
      </c>
      <c r="AQ106" s="26">
        <v>2473162</v>
      </c>
      <c r="AR106" s="26">
        <v>608582</v>
      </c>
      <c r="AS106" s="26">
        <v>2070089</v>
      </c>
      <c r="AT106" s="26">
        <v>986510</v>
      </c>
      <c r="AU106" s="26">
        <v>849807</v>
      </c>
      <c r="AV106" s="26">
        <v>7250862</v>
      </c>
      <c r="AW106" s="26">
        <v>5840076</v>
      </c>
      <c r="AX106" s="26">
        <v>7998312</v>
      </c>
      <c r="AY106" s="26">
        <v>3692837</v>
      </c>
      <c r="AZ106" s="26">
        <v>0</v>
      </c>
      <c r="BA106" s="26">
        <v>3075596</v>
      </c>
      <c r="BB106" s="26">
        <v>2292202</v>
      </c>
      <c r="BC106" s="26">
        <v>579459</v>
      </c>
      <c r="BD106" s="26">
        <v>614216</v>
      </c>
      <c r="BE106" s="26">
        <v>263072</v>
      </c>
      <c r="BF106" s="26">
        <v>3075595</v>
      </c>
      <c r="BG106" s="26"/>
      <c r="BH106" s="26">
        <v>0</v>
      </c>
      <c r="BI106" s="26">
        <v>2228141</v>
      </c>
      <c r="BJ106" s="26">
        <v>382494</v>
      </c>
      <c r="BK106" s="26">
        <v>1307230</v>
      </c>
    </row>
    <row r="107" spans="1:63">
      <c r="A107" s="18"/>
      <c r="B107" s="18"/>
      <c r="C107" s="25"/>
      <c r="D107" s="18"/>
      <c r="E107" s="25"/>
      <c r="F107" s="25"/>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row>
    <row r="108" spans="1:63">
      <c r="A108" s="18"/>
      <c r="B108" s="18"/>
      <c r="C108" s="28">
        <f>SUM(C5:C107)</f>
        <v>14417826.299999999</v>
      </c>
      <c r="D108" s="28">
        <f t="shared" ref="D108:AX108" si="2">SUM(D5:D107)</f>
        <v>383225</v>
      </c>
      <c r="E108" s="28">
        <f t="shared" si="2"/>
        <v>270321.37000000011</v>
      </c>
      <c r="F108" s="28">
        <f t="shared" si="2"/>
        <v>15071372.67</v>
      </c>
      <c r="G108" s="28">
        <f t="shared" si="2"/>
        <v>307557362</v>
      </c>
      <c r="H108" s="28">
        <f t="shared" si="2"/>
        <v>13462946</v>
      </c>
      <c r="I108" s="28">
        <f t="shared" si="2"/>
        <v>30448416</v>
      </c>
      <c r="J108" s="28">
        <f t="shared" si="2"/>
        <v>0</v>
      </c>
      <c r="K108" s="28">
        <f t="shared" si="2"/>
        <v>20772148</v>
      </c>
      <c r="L108" s="28">
        <f t="shared" si="2"/>
        <v>2775114</v>
      </c>
      <c r="M108" s="28">
        <f t="shared" si="2"/>
        <v>1783480</v>
      </c>
      <c r="N108" s="28">
        <f t="shared" si="2"/>
        <v>8084644</v>
      </c>
      <c r="O108" s="28">
        <f t="shared" si="2"/>
        <v>7259062</v>
      </c>
      <c r="P108" s="28">
        <f t="shared" si="2"/>
        <v>1576868</v>
      </c>
      <c r="Q108" s="28">
        <f t="shared" si="2"/>
        <v>570934</v>
      </c>
      <c r="R108" s="28">
        <f t="shared" si="2"/>
        <v>6374738</v>
      </c>
      <c r="S108" s="28">
        <f t="shared" si="2"/>
        <v>5950658</v>
      </c>
      <c r="T108" s="28">
        <f t="shared" si="2"/>
        <v>121604</v>
      </c>
      <c r="U108" s="28">
        <f t="shared" si="2"/>
        <v>5537300</v>
      </c>
      <c r="V108" s="28">
        <f t="shared" si="2"/>
        <v>793048</v>
      </c>
      <c r="W108" s="28">
        <f t="shared" si="2"/>
        <v>6100996</v>
      </c>
      <c r="X108" s="28">
        <f t="shared" si="2"/>
        <v>184190402</v>
      </c>
      <c r="Y108" s="28">
        <f t="shared" si="2"/>
        <v>1709292</v>
      </c>
      <c r="Z108" s="28">
        <f t="shared" si="2"/>
        <v>76964902</v>
      </c>
      <c r="AA108" s="28">
        <f t="shared" si="2"/>
        <v>8765088</v>
      </c>
      <c r="AB108" s="28">
        <f t="shared" si="2"/>
        <v>17458868</v>
      </c>
      <c r="AC108" s="28">
        <f t="shared" si="2"/>
        <v>733376</v>
      </c>
      <c r="AD108" s="28">
        <f t="shared" si="2"/>
        <v>7084996</v>
      </c>
      <c r="AE108" s="28">
        <f t="shared" si="2"/>
        <v>3454642</v>
      </c>
      <c r="AF108" s="28">
        <f t="shared" si="2"/>
        <v>2071776</v>
      </c>
      <c r="AG108" s="28">
        <f t="shared" si="2"/>
        <v>2279168</v>
      </c>
      <c r="AH108" s="28">
        <f t="shared" si="2"/>
        <v>551112</v>
      </c>
      <c r="AI108" s="28">
        <f t="shared" si="2"/>
        <v>8179908</v>
      </c>
      <c r="AJ108" s="28">
        <f t="shared" si="2"/>
        <v>1241928</v>
      </c>
      <c r="AK108" s="28">
        <f t="shared" si="2"/>
        <v>4640738</v>
      </c>
      <c r="AL108" s="28">
        <f t="shared" si="2"/>
        <v>746272</v>
      </c>
      <c r="AM108" s="28">
        <f t="shared" si="2"/>
        <v>5205500</v>
      </c>
      <c r="AN108" s="28">
        <f t="shared" si="2"/>
        <v>1881336</v>
      </c>
      <c r="AO108" s="28">
        <f t="shared" si="2"/>
        <v>2576760</v>
      </c>
      <c r="AP108" s="28">
        <f t="shared" si="2"/>
        <v>17376550</v>
      </c>
      <c r="AQ108" s="28">
        <f t="shared" si="2"/>
        <v>4946324</v>
      </c>
      <c r="AR108" s="28">
        <f t="shared" si="2"/>
        <v>1217164</v>
      </c>
      <c r="AS108" s="28">
        <f t="shared" si="2"/>
        <v>4140178</v>
      </c>
      <c r="AT108" s="28">
        <f t="shared" si="2"/>
        <v>1973020</v>
      </c>
      <c r="AU108" s="28">
        <f t="shared" si="2"/>
        <v>1699614</v>
      </c>
      <c r="AV108" s="28">
        <f t="shared" si="2"/>
        <v>14501724</v>
      </c>
      <c r="AW108" s="28">
        <f t="shared" si="2"/>
        <v>11680152</v>
      </c>
      <c r="AX108" s="28">
        <f t="shared" si="2"/>
        <v>15996624</v>
      </c>
      <c r="AY108" s="29">
        <v>3692837</v>
      </c>
      <c r="AZ108" s="29">
        <v>0</v>
      </c>
      <c r="BA108" s="29">
        <v>3075596</v>
      </c>
      <c r="BB108" s="29">
        <v>2292202</v>
      </c>
      <c r="BC108" s="29">
        <v>579459</v>
      </c>
      <c r="BD108" s="28">
        <v>-614216</v>
      </c>
      <c r="BE108" s="28">
        <v>-263072</v>
      </c>
      <c r="BF108" s="28">
        <v>-3075595</v>
      </c>
      <c r="BG108" s="18"/>
      <c r="BH108" s="18">
        <v>0</v>
      </c>
      <c r="BI108" s="27">
        <v>2228141</v>
      </c>
      <c r="BJ108" s="27">
        <v>382494</v>
      </c>
      <c r="BK108" s="27">
        <v>1307230</v>
      </c>
    </row>
    <row r="109" spans="1:63">
      <c r="A109" s="18"/>
      <c r="B109" s="18"/>
      <c r="C109" s="25"/>
      <c r="D109" s="18"/>
      <c r="E109" s="25"/>
      <c r="F109" s="25"/>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row>
    <row r="110" spans="1:63">
      <c r="A110" s="18"/>
      <c r="B110" s="18"/>
      <c r="C110" s="25"/>
      <c r="D110" s="18"/>
      <c r="E110" s="25"/>
      <c r="F110" s="25"/>
      <c r="G110" s="27">
        <v>0</v>
      </c>
      <c r="H110" s="27">
        <v>0</v>
      </c>
      <c r="I110" s="27">
        <v>0</v>
      </c>
      <c r="J110" s="27">
        <v>0</v>
      </c>
      <c r="K110" s="27">
        <v>0</v>
      </c>
      <c r="L110" s="27">
        <v>0</v>
      </c>
      <c r="M110" s="27">
        <v>0</v>
      </c>
      <c r="N110" s="27">
        <v>0</v>
      </c>
      <c r="O110" s="27">
        <v>0</v>
      </c>
      <c r="P110" s="27">
        <v>0</v>
      </c>
      <c r="Q110" s="27">
        <v>0</v>
      </c>
      <c r="R110" s="27">
        <v>0</v>
      </c>
      <c r="S110" s="27">
        <v>0</v>
      </c>
      <c r="T110" s="27">
        <v>0</v>
      </c>
      <c r="U110" s="27">
        <v>0</v>
      </c>
      <c r="V110" s="27">
        <v>0</v>
      </c>
      <c r="W110" s="27">
        <v>0</v>
      </c>
      <c r="X110" s="27">
        <v>0</v>
      </c>
      <c r="Y110" s="27">
        <v>0</v>
      </c>
      <c r="Z110" s="27">
        <v>0</v>
      </c>
      <c r="AA110" s="27">
        <v>0</v>
      </c>
      <c r="AB110" s="27">
        <v>0</v>
      </c>
      <c r="AC110" s="27">
        <v>0</v>
      </c>
      <c r="AD110" s="27">
        <v>0</v>
      </c>
      <c r="AE110" s="27">
        <v>0</v>
      </c>
      <c r="AF110" s="27">
        <v>0</v>
      </c>
      <c r="AG110" s="27">
        <v>0</v>
      </c>
      <c r="AH110" s="27">
        <v>0</v>
      </c>
      <c r="AI110" s="27">
        <v>0</v>
      </c>
      <c r="AJ110" s="27">
        <v>0</v>
      </c>
      <c r="AK110" s="27">
        <v>0</v>
      </c>
      <c r="AL110" s="27">
        <v>0</v>
      </c>
      <c r="AM110" s="27">
        <v>0</v>
      </c>
      <c r="AN110" s="27">
        <v>0</v>
      </c>
      <c r="AO110" s="27">
        <v>0</v>
      </c>
      <c r="AP110" s="27">
        <v>0</v>
      </c>
      <c r="AQ110" s="27">
        <v>0</v>
      </c>
      <c r="AR110" s="27">
        <v>0</v>
      </c>
      <c r="AS110" s="27">
        <v>0</v>
      </c>
      <c r="AT110" s="27">
        <v>0</v>
      </c>
      <c r="AU110" s="27">
        <v>0</v>
      </c>
      <c r="AV110" s="27">
        <v>0</v>
      </c>
      <c r="AW110" s="27">
        <v>0</v>
      </c>
      <c r="AX110" s="27">
        <v>0</v>
      </c>
      <c r="AY110" s="27">
        <v>0</v>
      </c>
      <c r="AZ110" s="27">
        <v>0</v>
      </c>
      <c r="BA110" s="27">
        <v>0</v>
      </c>
      <c r="BB110" s="27">
        <v>0</v>
      </c>
      <c r="BC110" s="27">
        <v>0</v>
      </c>
      <c r="BD110" s="27">
        <v>0</v>
      </c>
      <c r="BE110" s="27">
        <v>0</v>
      </c>
      <c r="BF110" s="27">
        <v>0</v>
      </c>
      <c r="BG110" s="27"/>
      <c r="BH110" s="27">
        <v>0</v>
      </c>
      <c r="BI110" s="27">
        <v>0</v>
      </c>
      <c r="BJ110" s="27">
        <v>0</v>
      </c>
      <c r="BK110" s="27">
        <v>0</v>
      </c>
    </row>
  </sheetData>
  <mergeCells count="6">
    <mergeCell ref="BG3:BK3"/>
    <mergeCell ref="A3:B3"/>
    <mergeCell ref="C3:E3"/>
    <mergeCell ref="G3:W3"/>
    <mergeCell ref="X3:BC3"/>
    <mergeCell ref="BD3:B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Benchmarking Ratio's Comparison</vt:lpstr>
      <vt:lpstr>All Schools Data view only</vt:lpstr>
      <vt:lpstr>CFR20212022_BenchMarkDataReport</vt:lpstr>
      <vt:lpstr>Pupil Nos BenchmarkData 21-22</vt:lpstr>
      <vt:lpstr>BARNET SCHS PUPIL PREMIUM Nos</vt:lpstr>
      <vt:lpstr>2014-15 CFR</vt:lpstr>
      <vt:lpstr>ak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Claudette</dc:creator>
  <cp:lastModifiedBy>James, Claudette</cp:lastModifiedBy>
  <cp:lastPrinted>2017-09-08T10:08:57Z</cp:lastPrinted>
  <dcterms:created xsi:type="dcterms:W3CDTF">2010-07-19T14:31:41Z</dcterms:created>
  <dcterms:modified xsi:type="dcterms:W3CDTF">2022-12-06T15:34:32Z</dcterms:modified>
</cp:coreProperties>
</file>